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37"/>
  </bookViews>
  <sheets>
    <sheet name="汇总表" sheetId="7" r:id="rId1"/>
    <sheet name="1冲床下料JD21-100（扬力2014）" sheetId="6" r:id="rId2"/>
    <sheet name="2冲床下料设备基础（JC23-80（徐锻99））" sheetId="5" r:id="rId3"/>
    <sheet name="3三维切管机大族P10018D" sheetId="8" r:id="rId4"/>
    <sheet name="4冲床下料设备基础（JC23-63A（扬力2014））" sheetId="9" r:id="rId5"/>
    <sheet name="5冲床冲孔设备基础（JC23-40T（沃德精机2011）" sheetId="10" r:id="rId6"/>
    <sheet name="6冲床冲孔设备基础JC23-80徐锻" sheetId="11" r:id="rId7"/>
    <sheet name="7油压机（扬力四柱压力机）YL32-100" sheetId="12" r:id="rId8"/>
    <sheet name="8油压机Y32-100 1台（徐锻2012）" sheetId="13" r:id="rId9"/>
    <sheet name="9油压机YH32-40D" sheetId="14" r:id="rId10"/>
    <sheet name="10三维五轴激光切割机W3525TS" sheetId="15" r:id="rId11"/>
    <sheet name="11液压剪板机QC12Y-63200-扬力" sheetId="16" r:id="rId12"/>
    <sheet name="12折弯机MB8-100.3200-扬力" sheetId="17" r:id="rId13"/>
    <sheet name="13折弯机WC67Y-100 3200" sheetId="19" r:id="rId14"/>
    <sheet name="14折弯机PBB-160 4100" sheetId="18" r:id="rId15"/>
    <sheet name="15液压剪板机QC12K-6 2500-SY" sheetId="4" r:id="rId16"/>
    <sheet name="焊接机器人电源" sheetId="20" r:id="rId17"/>
  </sheets>
  <calcPr calcId="144525"/>
</workbook>
</file>

<file path=xl/sharedStrings.xml><?xml version="1.0" encoding="utf-8"?>
<sst xmlns="http://schemas.openxmlformats.org/spreadsheetml/2006/main" count="702" uniqueCount="171">
  <si>
    <t>报价单</t>
  </si>
  <si>
    <t>序号</t>
  </si>
  <si>
    <t>产线</t>
  </si>
  <si>
    <t>名称</t>
  </si>
  <si>
    <t>设备型号</t>
  </si>
  <si>
    <t>基础图号</t>
  </si>
  <si>
    <t>单位</t>
  </si>
  <si>
    <t>数量</t>
  </si>
  <si>
    <t>不含税单价</t>
  </si>
  <si>
    <t>含税单价</t>
  </si>
  <si>
    <t>合计</t>
  </si>
  <si>
    <t>备注</t>
  </si>
  <si>
    <t>现安装位置</t>
  </si>
  <si>
    <t>拟搬迁位置</t>
  </si>
  <si>
    <t>设备基础施工周期</t>
  </si>
  <si>
    <t>电路施工周期</t>
  </si>
  <si>
    <t>骨架流水线</t>
  </si>
  <si>
    <t>冲床（下料）</t>
  </si>
  <si>
    <t>JD21-100（扬力2014）</t>
  </si>
  <si>
    <t>JD21-100扬力冲床地基尺寸图</t>
  </si>
  <si>
    <t>台</t>
  </si>
  <si>
    <t>详细预算附后</t>
  </si>
  <si>
    <t>下料工位3-AB-B(22-24)</t>
  </si>
  <si>
    <t>原后围骨架工位3-AB-B(13-15)</t>
  </si>
  <si>
    <t>JC23-80（徐锻99）</t>
  </si>
  <si>
    <t>JC23-80徐锻冲床基础图</t>
  </si>
  <si>
    <t>三维切管机</t>
  </si>
  <si>
    <t>大族P10018D</t>
  </si>
  <si>
    <t>P10018D地基图 (全自动+新4米浮动</t>
  </si>
  <si>
    <t>下料工位3-AB-AB(29-31)</t>
  </si>
  <si>
    <t>原底架工位3-AB-B(9-12)/3-AB-A(11-14)</t>
  </si>
  <si>
    <t>冲床（冲孔）</t>
  </si>
  <si>
    <t>JC23-63A（扬力2014）*1；</t>
  </si>
  <si>
    <t>JC23-63A扬力冲床地基尺寸图</t>
  </si>
  <si>
    <t>后围骨架工位3-AB-A(9-10)/3-AB-B(10-11)</t>
  </si>
  <si>
    <t>原下料工位（前围/后围骨架）3-AB-B(25-26)</t>
  </si>
  <si>
    <t>JC23-40T（沃德精机2011）1台</t>
  </si>
  <si>
    <t>JC23-40沃德精机冲床基础图</t>
  </si>
  <si>
    <t>JC23-80徐锻*1,2002</t>
  </si>
  <si>
    <t>油压机（扬力四柱压力机）</t>
  </si>
  <si>
    <t>YL32-100*1（扬力2014）；</t>
  </si>
  <si>
    <t>YL32-100扬力四柱压力机设备基础图</t>
  </si>
  <si>
    <t>前围骨架工位3-AB-B(2-4)</t>
  </si>
  <si>
    <t>油压机</t>
  </si>
  <si>
    <t>Y32-100 1台（徐锻2012）</t>
  </si>
  <si>
    <t>Y32-100徐锻调型机基础图</t>
  </si>
  <si>
    <t>YH32-40D 徐锻1台2004.2</t>
  </si>
  <si>
    <t>YH32-40D徐锻调型机基础图</t>
  </si>
  <si>
    <t>冲压流水线</t>
  </si>
  <si>
    <t>三维五轴激光切割机(原）</t>
  </si>
  <si>
    <t>W3525TS</t>
  </si>
  <si>
    <t>W3525TS地基布局图三维五轴激光切割机</t>
  </si>
  <si>
    <t>油压工位AB-B(22-25)</t>
  </si>
  <si>
    <t>模具班AB-A(26-28)</t>
  </si>
  <si>
    <t>液压剪板机</t>
  </si>
  <si>
    <t>QC12Y-6*3200-扬力</t>
  </si>
  <si>
    <t>QC12Y-6X3200扬力折弯机地基图</t>
  </si>
  <si>
    <t>油压工位西侧A</t>
  </si>
  <si>
    <t>剪板机工位BC-B(2-3)</t>
  </si>
  <si>
    <t>钣金流水线</t>
  </si>
  <si>
    <t>折弯机</t>
  </si>
  <si>
    <t>MB8-100*3200-扬力</t>
  </si>
  <si>
    <t>扬力MB8-100-3200数控折弯机设备基础图</t>
  </si>
  <si>
    <t>钣金激光西侧AB-B(31-32）</t>
  </si>
  <si>
    <t>钣金西北角2台BC-C(29-30）</t>
  </si>
  <si>
    <t>WC67Y-100/3200</t>
  </si>
  <si>
    <t>WC67Y-100/3200上冲折弯机基础图</t>
  </si>
  <si>
    <t>钣金激光西侧AB-B(30-31）</t>
  </si>
  <si>
    <t>钣金最西侧1台BC-B(29-30）</t>
  </si>
  <si>
    <t>PBB-160/4100</t>
  </si>
  <si>
    <t>PBB-160/4100亚威数控折弯机地基图</t>
  </si>
  <si>
    <t>钣金流水线北侧中间工位BC-C(30-31）</t>
  </si>
  <si>
    <t>钣金东北角BC-C(35）</t>
  </si>
  <si>
    <t>QC12K-6*2500/DNC-10G--上冲2000.5</t>
  </si>
  <si>
    <t>上冲液压剪板机QC12K-6X2500-SY</t>
  </si>
  <si>
    <t>钣金流水线北侧中间工位AB-B(29-30)</t>
  </si>
  <si>
    <t>钣金流水线北侧中间工位AB-B(29-30)原靠柱移到靠通道一侧</t>
  </si>
  <si>
    <t>焊接机器人</t>
  </si>
  <si>
    <t>焊接机器人电源</t>
  </si>
  <si>
    <t>项</t>
  </si>
  <si>
    <t>项目名称</t>
  </si>
  <si>
    <t>分项名称</t>
  </si>
  <si>
    <t>不含税总价</t>
  </si>
  <si>
    <t>冲床下料设备基础（JD21-100（扬力2014））</t>
  </si>
  <si>
    <t>地面切割</t>
  </si>
  <si>
    <t>米</t>
  </si>
  <si>
    <t>含基础施工面及线槽切割，墙到柱子扣槽</t>
  </si>
  <si>
    <t>地面破除及土方开挖</t>
  </si>
  <si>
    <t>立方</t>
  </si>
  <si>
    <t>切槽后的地面破除、土方开挖及余方清理外运，其中钢筋混凝土地面厚度25cm，地面灰土拆除20cm，结构层拆除厚度45cm（包含现有设备基础池壁拆除），土方开挖深度120cm</t>
  </si>
  <si>
    <t>C15混凝土垫层</t>
  </si>
  <si>
    <t>10cm垫层</t>
  </si>
  <si>
    <t>C30基础混凝土</t>
  </si>
  <si>
    <t>C35混凝土/灌浆料二次浇筑</t>
  </si>
  <si>
    <t>地脚螺栓ML24*800</t>
  </si>
  <si>
    <t>根</t>
  </si>
  <si>
    <t>M*L24*800，含螺母、垫圈</t>
  </si>
  <si>
    <t>模板</t>
  </si>
  <si>
    <t>平方</t>
  </si>
  <si>
    <t>钢筋</t>
  </si>
  <si>
    <t>kg</t>
  </si>
  <si>
    <t>HRB325，直径12@150，上下各单层双向铺设</t>
  </si>
  <si>
    <t>安全文明施工措施费</t>
  </si>
  <si>
    <t>本项目在制件车间内施工作业，要求作业期间不得影响正常生产，施工区域采用围挡封闭作业，车间内施工人员必须佩戴安全帽，穿着醒目警示服装，施工完毕现场清理干净</t>
  </si>
  <si>
    <t>不含税合计</t>
  </si>
  <si>
    <t>税金</t>
  </si>
  <si>
    <t>含税合计</t>
  </si>
  <si>
    <t>2冲床下料设备基础（JC23-80（徐锻99））</t>
  </si>
  <si>
    <t>切槽后的地面破除、土方开挖及余方清理外运，其中钢筋混凝土地面厚度25cm，地面灰土拆除20cm，结构层拆除厚度45cm（包含现有设备基础池壁拆除），土方开挖深度110cm</t>
  </si>
  <si>
    <t>HRB325，直径16@150，上下单层双向铺设</t>
  </si>
  <si>
    <t>3三维切管机基础大族P10018D</t>
  </si>
  <si>
    <t>m</t>
  </si>
  <si>
    <t>土方开挖及混凝土地面破除</t>
  </si>
  <si>
    <t>m2</t>
  </si>
  <si>
    <t>地面破除、土方开挖及余方清理外运</t>
  </si>
  <si>
    <t>抗渗混凝土</t>
  </si>
  <si>
    <t>m3</t>
  </si>
  <si>
    <t>基础底垫层</t>
  </si>
  <si>
    <t>余土及破除外运</t>
  </si>
  <si>
    <t>设备基础混凝土，含模板施工</t>
  </si>
  <si>
    <t>模板及支撑系统</t>
  </si>
  <si>
    <t>去毛刺锐角，未注倒角2X45°次浇灌后的所有的地脚板要求平整，不得出现明显的高低不平,并且理论上位于同一平面上,要求任意两地脚之间的最大偏差不得超过5毫米，全部浇灌范围内水平度不大于10mm</t>
  </si>
  <si>
    <t>t</t>
  </si>
  <si>
    <t>预埋件</t>
  </si>
  <si>
    <t>盖板</t>
  </si>
  <si>
    <t>煤渣</t>
  </si>
  <si>
    <t>碎石与粘土混合压实</t>
  </si>
  <si>
    <t>竣工清理</t>
  </si>
  <si>
    <t>铜棒</t>
  </si>
  <si>
    <t>本项目在制件车间内吊装及冲压区施工作业，要求作业期间不得影响正常生产，施工区域采用围挡封闭作业，车间内施工人员必须佩戴安全帽，穿着醒目警示服装</t>
  </si>
  <si>
    <t>4冲床下料设备基础（JC23-63A（扬力2014））</t>
  </si>
  <si>
    <t>地脚螺栓ML24*700</t>
  </si>
  <si>
    <t>M*L24*700，含螺母、垫圈</t>
  </si>
  <si>
    <t>5冲床冲孔设备基础（JC23-40T（沃德精机2011）</t>
  </si>
  <si>
    <t>6冲床冲孔设备基础JC23-80徐锻</t>
  </si>
  <si>
    <t>7油压机（扬力四柱压力机）YL32-100</t>
  </si>
  <si>
    <t>切槽后的地面破除、土方开挖及余方清理外运，其中钢筋混凝土地面厚度25cm，地面灰土拆除20cm，结构层拆除厚度45cm（包含现有设备基础池壁拆除），土方开挖深度75cm</t>
  </si>
  <si>
    <t>地脚螺栓ML16*500</t>
  </si>
  <si>
    <t>M*L16*500，含螺母、垫圈</t>
  </si>
  <si>
    <t>钢筋及预埋件</t>
  </si>
  <si>
    <t>8油压机Y32-100 1台（徐锻2012）</t>
  </si>
  <si>
    <t>切槽后的地面破除、土方开挖及余方清理外运，其中钢筋混凝土地面厚度25cm，地面灰土拆除20cm，结构层拆除厚度45cm（包含现有设备基础池壁拆除），土方开挖深度130cm</t>
  </si>
  <si>
    <t>9油压机YH32-</t>
  </si>
  <si>
    <t>切槽后的地面破除、土方开挖及余方清理外运，其中钢筋混凝土地面厚度25cm，地面灰土拆除20cm，结构层拆除厚度45cm（包含现有设备基础池壁拆除），土方开挖深度95cm</t>
  </si>
  <si>
    <t>10三维五轴激光切割机W3525TS</t>
  </si>
  <si>
    <t>切槽后的地面破除、土方开挖及余方清理外运，其中钢筋混凝土地面厚度25cm，地面灰土拆除20cm，结构层拆除厚度45cm（包含现有设备基础池壁拆除），土方开挖深度150cm</t>
  </si>
  <si>
    <t>P6抗渗C30基础混凝土</t>
  </si>
  <si>
    <t>电缆沟</t>
  </si>
  <si>
    <t>含沟槽、盖板</t>
  </si>
  <si>
    <t>HRB325，直径16@150，单层双向铺设，20mm厚预埋件Q235a</t>
  </si>
  <si>
    <t>11液压剪板机QC12Y-6*3200-扬力</t>
  </si>
  <si>
    <t>地脚螺栓ML16*600</t>
  </si>
  <si>
    <t>M*L16*600，含螺母、垫圈</t>
  </si>
  <si>
    <t>11折弯机MB8-100*3200-扬力</t>
  </si>
  <si>
    <t>切槽后的地面破除、土方开挖及余方清理外运，其中钢筋混凝土地面厚度25cm，地面灰土拆除20cm，结构层拆除厚度45cm（包含现有设备基础池壁拆除），土方开挖深度90cm</t>
  </si>
  <si>
    <t>@80镀锌钢管</t>
  </si>
  <si>
    <t>镀锌花纹钢板</t>
  </si>
  <si>
    <t>2厚镀锌花纹盖板</t>
  </si>
  <si>
    <t>13折弯机WC67Y-100/3200</t>
  </si>
  <si>
    <t>切槽后的地面破除、土方开挖及余方清理外运，其中钢筋混凝土地面厚度25cm，地面灰土拆除20cm，结构层拆除厚度45cm（包含现有设备基础池壁拆除），土方开挖深度70cm</t>
  </si>
  <si>
    <t>钢筋及钢板</t>
  </si>
  <si>
    <t>HRB325，直径16@150，上下单层双向铺设，钢板厚度20mm120*120</t>
  </si>
  <si>
    <t>14折弯机PBB-160 4100</t>
  </si>
  <si>
    <t>直径30镀锌钢管</t>
  </si>
  <si>
    <t>HRB325，直径16@150，上下单层双向铺设，钢板厚度40mm</t>
  </si>
  <si>
    <t>15液压剪板机QC12K-6X2500-SY</t>
  </si>
  <si>
    <t>前端电缆YJV3*185+2*95</t>
  </si>
  <si>
    <t>沿电缆桥架敷设，配备200*100电缆桥架</t>
  </si>
  <si>
    <t>配电箱</t>
  </si>
  <si>
    <t>台套</t>
  </si>
  <si>
    <t>进线塑壳断路器规格315A/3P，7路出线断路器，3只配备漏电保护断路器63A/3P+N，4只配备漏电保护断路器50A/3P+N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</si>
</sst>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7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name val="宋体"/>
      <charset val="134"/>
    </font>
    <font>
      <u/>
      <sz val="10.5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9"/>
      <name val="等线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" fillId="0" borderId="0"/>
  </cellStyleXfs>
  <cellXfs count="4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5" fillId="0" borderId="5" xfId="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justify" vertical="center"/>
    </xf>
    <xf numFmtId="49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tabSelected="1" topLeftCell="A6" workbookViewId="0">
      <selection activeCell="L28" sqref="L27:L28"/>
    </sheetView>
  </sheetViews>
  <sheetFormatPr defaultColWidth="11.875" defaultRowHeight="11.25"/>
  <cols>
    <col min="1" max="1" width="5.125" style="17" customWidth="1"/>
    <col min="2" max="2" width="7.25" style="18" customWidth="1"/>
    <col min="3" max="3" width="13.125" style="19" customWidth="1"/>
    <col min="4" max="5" width="13.125" style="17" customWidth="1"/>
    <col min="6" max="10" width="7.5" style="17" customWidth="1"/>
    <col min="11" max="11" width="11" style="17" customWidth="1"/>
    <col min="12" max="12" width="14.375" style="17" customWidth="1"/>
    <col min="13" max="13" width="16" style="17" customWidth="1"/>
    <col min="14" max="16381" width="13.125" style="17" customWidth="1"/>
    <col min="16382" max="16384" width="13.125" style="20" customWidth="1"/>
  </cols>
  <sheetData>
    <row r="1" s="17" customFormat="1" ht="12" spans="1:15">
      <c r="A1" s="21" t="s">
        <v>0</v>
      </c>
      <c r="B1" s="22"/>
      <c r="C1" s="23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32"/>
    </row>
    <row r="2" s="17" customFormat="1" ht="12" spans="1:15">
      <c r="A2" s="25" t="s">
        <v>1</v>
      </c>
      <c r="B2" s="26" t="s">
        <v>2</v>
      </c>
      <c r="C2" s="25" t="s">
        <v>3</v>
      </c>
      <c r="D2" s="26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25" t="s">
        <v>9</v>
      </c>
      <c r="J2" s="25" t="s">
        <v>10</v>
      </c>
      <c r="K2" s="25" t="s">
        <v>11</v>
      </c>
      <c r="L2" s="33" t="s">
        <v>12</v>
      </c>
      <c r="M2" s="33" t="s">
        <v>13</v>
      </c>
      <c r="N2" s="34" t="s">
        <v>14</v>
      </c>
      <c r="O2" s="35" t="s">
        <v>15</v>
      </c>
    </row>
    <row r="3" s="17" customFormat="1" ht="22.5" spans="1:15">
      <c r="A3" s="25">
        <v>1</v>
      </c>
      <c r="B3" s="26" t="s">
        <v>16</v>
      </c>
      <c r="C3" s="25" t="s">
        <v>17</v>
      </c>
      <c r="D3" s="27" t="s">
        <v>18</v>
      </c>
      <c r="E3" s="26" t="s">
        <v>19</v>
      </c>
      <c r="F3" s="25" t="s">
        <v>20</v>
      </c>
      <c r="G3" s="25">
        <v>1</v>
      </c>
      <c r="H3" s="25">
        <f>'1冲床下料JD21-100（扬力2014）'!D11</f>
        <v>0</v>
      </c>
      <c r="I3" s="25">
        <f>H3*1.09</f>
        <v>0</v>
      </c>
      <c r="J3" s="25">
        <f>I3*G3</f>
        <v>0</v>
      </c>
      <c r="K3" s="25" t="s">
        <v>21</v>
      </c>
      <c r="L3" s="26" t="s">
        <v>22</v>
      </c>
      <c r="M3" s="26" t="s">
        <v>23</v>
      </c>
      <c r="N3" s="33">
        <v>7</v>
      </c>
      <c r="O3" s="35"/>
    </row>
    <row r="4" s="17" customFormat="1" ht="22.5" spans="1:15">
      <c r="A4" s="25">
        <v>2</v>
      </c>
      <c r="B4" s="28"/>
      <c r="C4" s="25" t="s">
        <v>17</v>
      </c>
      <c r="D4" s="27" t="s">
        <v>24</v>
      </c>
      <c r="E4" s="26" t="s">
        <v>25</v>
      </c>
      <c r="F4" s="25" t="s">
        <v>20</v>
      </c>
      <c r="G4" s="25">
        <v>1</v>
      </c>
      <c r="H4" s="25">
        <f>'2冲床下料设备基础（JC23-80（徐锻99））'!D11</f>
        <v>0</v>
      </c>
      <c r="I4" s="25">
        <f t="shared" ref="I4:I18" si="0">H4*1.09</f>
        <v>0</v>
      </c>
      <c r="J4" s="25">
        <f t="shared" ref="J4:J18" si="1">I4*G4</f>
        <v>0</v>
      </c>
      <c r="K4" s="25" t="s">
        <v>21</v>
      </c>
      <c r="L4" s="26" t="s">
        <v>22</v>
      </c>
      <c r="M4" s="26" t="s">
        <v>23</v>
      </c>
      <c r="N4" s="33">
        <v>7</v>
      </c>
      <c r="O4" s="35"/>
    </row>
    <row r="5" s="17" customFormat="1" ht="33.75" spans="1:15">
      <c r="A5" s="25">
        <v>3</v>
      </c>
      <c r="B5" s="28"/>
      <c r="C5" s="25" t="s">
        <v>26</v>
      </c>
      <c r="D5" s="27" t="s">
        <v>27</v>
      </c>
      <c r="E5" s="26" t="s">
        <v>28</v>
      </c>
      <c r="F5" s="25" t="s">
        <v>20</v>
      </c>
      <c r="G5" s="25">
        <v>2</v>
      </c>
      <c r="H5" s="25">
        <f>'3三维切管机大族P10018D'!D15</f>
        <v>0</v>
      </c>
      <c r="I5" s="25">
        <f t="shared" si="0"/>
        <v>0</v>
      </c>
      <c r="J5" s="25">
        <f t="shared" si="1"/>
        <v>0</v>
      </c>
      <c r="K5" s="25" t="s">
        <v>21</v>
      </c>
      <c r="L5" s="26" t="s">
        <v>29</v>
      </c>
      <c r="M5" s="26" t="s">
        <v>30</v>
      </c>
      <c r="N5" s="25">
        <v>30</v>
      </c>
      <c r="O5" s="35"/>
    </row>
    <row r="6" s="17" customFormat="1" ht="33.75" spans="1:15">
      <c r="A6" s="25">
        <v>4</v>
      </c>
      <c r="B6" s="28"/>
      <c r="C6" s="25" t="s">
        <v>31</v>
      </c>
      <c r="D6" s="27" t="s">
        <v>32</v>
      </c>
      <c r="E6" s="26" t="s">
        <v>33</v>
      </c>
      <c r="F6" s="25" t="s">
        <v>20</v>
      </c>
      <c r="G6" s="25">
        <v>1</v>
      </c>
      <c r="H6" s="25">
        <f>'4冲床下料设备基础（JC23-63A（扬力2014））'!D11</f>
        <v>0</v>
      </c>
      <c r="I6" s="25">
        <f t="shared" si="0"/>
        <v>0</v>
      </c>
      <c r="J6" s="25">
        <f t="shared" si="1"/>
        <v>0</v>
      </c>
      <c r="K6" s="25" t="s">
        <v>21</v>
      </c>
      <c r="L6" s="26" t="s">
        <v>34</v>
      </c>
      <c r="M6" s="26" t="s">
        <v>35</v>
      </c>
      <c r="N6" s="25">
        <v>7</v>
      </c>
      <c r="O6" s="35"/>
    </row>
    <row r="7" s="17" customFormat="1" ht="33.75" spans="1:15">
      <c r="A7" s="25">
        <v>5</v>
      </c>
      <c r="B7" s="28"/>
      <c r="C7" s="25" t="s">
        <v>31</v>
      </c>
      <c r="D7" s="27" t="s">
        <v>36</v>
      </c>
      <c r="E7" s="26" t="s">
        <v>37</v>
      </c>
      <c r="F7" s="25" t="s">
        <v>20</v>
      </c>
      <c r="G7" s="25">
        <v>1</v>
      </c>
      <c r="H7" s="25">
        <f>'5冲床冲孔设备基础（JC23-40T（沃德精机2011）'!D11</f>
        <v>0</v>
      </c>
      <c r="I7" s="25">
        <f t="shared" si="0"/>
        <v>0</v>
      </c>
      <c r="J7" s="25">
        <f t="shared" si="1"/>
        <v>0</v>
      </c>
      <c r="K7" s="25" t="s">
        <v>21</v>
      </c>
      <c r="L7" s="26" t="s">
        <v>34</v>
      </c>
      <c r="M7" s="26" t="s">
        <v>35</v>
      </c>
      <c r="N7" s="25">
        <v>7</v>
      </c>
      <c r="O7" s="36"/>
    </row>
    <row r="8" s="17" customFormat="1" ht="33.75" spans="1:15">
      <c r="A8" s="25">
        <v>6</v>
      </c>
      <c r="B8" s="28"/>
      <c r="C8" s="25" t="s">
        <v>31</v>
      </c>
      <c r="D8" s="27" t="s">
        <v>38</v>
      </c>
      <c r="E8" s="26" t="s">
        <v>25</v>
      </c>
      <c r="F8" s="25" t="s">
        <v>20</v>
      </c>
      <c r="G8" s="25">
        <v>1</v>
      </c>
      <c r="H8" s="25">
        <f>'6冲床冲孔设备基础JC23-80徐锻'!D11</f>
        <v>0</v>
      </c>
      <c r="I8" s="25">
        <f t="shared" si="0"/>
        <v>0</v>
      </c>
      <c r="J8" s="25">
        <f t="shared" si="1"/>
        <v>0</v>
      </c>
      <c r="K8" s="25" t="s">
        <v>21</v>
      </c>
      <c r="L8" s="26" t="s">
        <v>34</v>
      </c>
      <c r="M8" s="26" t="s">
        <v>35</v>
      </c>
      <c r="N8" s="25">
        <v>7</v>
      </c>
      <c r="O8" s="36"/>
    </row>
    <row r="9" s="17" customFormat="1" ht="33.75" spans="1:15">
      <c r="A9" s="25">
        <v>7</v>
      </c>
      <c r="B9" s="28"/>
      <c r="C9" s="26" t="s">
        <v>39</v>
      </c>
      <c r="D9" s="27" t="s">
        <v>40</v>
      </c>
      <c r="E9" s="26" t="s">
        <v>41</v>
      </c>
      <c r="F9" s="25" t="s">
        <v>20</v>
      </c>
      <c r="G9" s="25">
        <v>2</v>
      </c>
      <c r="H9" s="25">
        <f>'7油压机（扬力四柱压力机）YL32-100'!D11</f>
        <v>0</v>
      </c>
      <c r="I9" s="25">
        <f t="shared" si="0"/>
        <v>0</v>
      </c>
      <c r="J9" s="25">
        <f t="shared" si="1"/>
        <v>0</v>
      </c>
      <c r="K9" s="25" t="s">
        <v>21</v>
      </c>
      <c r="L9" s="26" t="s">
        <v>42</v>
      </c>
      <c r="M9" s="26" t="s">
        <v>35</v>
      </c>
      <c r="N9" s="25">
        <v>7</v>
      </c>
      <c r="O9" s="35"/>
    </row>
    <row r="10" s="17" customFormat="1" ht="33.75" spans="1:15">
      <c r="A10" s="25">
        <v>8</v>
      </c>
      <c r="B10" s="28"/>
      <c r="C10" s="26" t="s">
        <v>43</v>
      </c>
      <c r="D10" s="26" t="s">
        <v>44</v>
      </c>
      <c r="E10" s="26" t="s">
        <v>45</v>
      </c>
      <c r="F10" s="25" t="s">
        <v>20</v>
      </c>
      <c r="G10" s="25">
        <v>1</v>
      </c>
      <c r="H10" s="25">
        <f>'8油压机Y32-100 1台（徐锻2012）'!D11</f>
        <v>0</v>
      </c>
      <c r="I10" s="25">
        <f t="shared" si="0"/>
        <v>0</v>
      </c>
      <c r="J10" s="25">
        <f t="shared" si="1"/>
        <v>0</v>
      </c>
      <c r="K10" s="25" t="s">
        <v>21</v>
      </c>
      <c r="L10" s="26" t="s">
        <v>42</v>
      </c>
      <c r="M10" s="26" t="s">
        <v>35</v>
      </c>
      <c r="N10" s="25">
        <v>7</v>
      </c>
      <c r="O10" s="35"/>
    </row>
    <row r="11" s="17" customFormat="1" ht="33.75" spans="1:15">
      <c r="A11" s="25">
        <v>9</v>
      </c>
      <c r="B11" s="28"/>
      <c r="C11" s="26" t="s">
        <v>43</v>
      </c>
      <c r="D11" s="26" t="s">
        <v>46</v>
      </c>
      <c r="E11" s="26" t="s">
        <v>47</v>
      </c>
      <c r="F11" s="25" t="s">
        <v>20</v>
      </c>
      <c r="G11" s="25">
        <v>1</v>
      </c>
      <c r="H11" s="25">
        <f>'9油压机YH32-40D'!D11</f>
        <v>0</v>
      </c>
      <c r="I11" s="25">
        <f t="shared" si="0"/>
        <v>0</v>
      </c>
      <c r="J11" s="25">
        <f t="shared" si="1"/>
        <v>0</v>
      </c>
      <c r="K11" s="25" t="s">
        <v>21</v>
      </c>
      <c r="L11" s="26" t="s">
        <v>42</v>
      </c>
      <c r="M11" s="26" t="s">
        <v>35</v>
      </c>
      <c r="N11" s="25">
        <v>7</v>
      </c>
      <c r="O11" s="35"/>
    </row>
    <row r="12" s="17" customFormat="1" ht="33.75" spans="1:15">
      <c r="A12" s="25">
        <v>10</v>
      </c>
      <c r="B12" s="26" t="s">
        <v>48</v>
      </c>
      <c r="C12" s="26" t="s">
        <v>49</v>
      </c>
      <c r="D12" s="26" t="s">
        <v>50</v>
      </c>
      <c r="E12" s="26" t="s">
        <v>51</v>
      </c>
      <c r="F12" s="25" t="s">
        <v>20</v>
      </c>
      <c r="G12" s="25">
        <v>1</v>
      </c>
      <c r="H12" s="25">
        <f>'10三维五轴激光切割机W3525TS'!D11</f>
        <v>0</v>
      </c>
      <c r="I12" s="25">
        <f t="shared" si="0"/>
        <v>0</v>
      </c>
      <c r="J12" s="25">
        <f t="shared" si="1"/>
        <v>0</v>
      </c>
      <c r="K12" s="25" t="s">
        <v>21</v>
      </c>
      <c r="L12" s="26" t="s">
        <v>52</v>
      </c>
      <c r="M12" s="26" t="s">
        <v>53</v>
      </c>
      <c r="N12" s="26">
        <v>21</v>
      </c>
      <c r="O12" s="35"/>
    </row>
    <row r="13" s="17" customFormat="1" ht="22.5" spans="1:15">
      <c r="A13" s="25">
        <v>11</v>
      </c>
      <c r="B13" s="28"/>
      <c r="C13" s="26" t="s">
        <v>54</v>
      </c>
      <c r="D13" s="26" t="s">
        <v>55</v>
      </c>
      <c r="E13" s="26" t="s">
        <v>56</v>
      </c>
      <c r="F13" s="25" t="s">
        <v>20</v>
      </c>
      <c r="G13" s="25">
        <v>1</v>
      </c>
      <c r="H13" s="25">
        <f>'11液压剪板机QC12Y-63200-扬力'!D11</f>
        <v>0</v>
      </c>
      <c r="I13" s="25">
        <f t="shared" si="0"/>
        <v>0</v>
      </c>
      <c r="J13" s="25">
        <f t="shared" si="1"/>
        <v>0</v>
      </c>
      <c r="K13" s="25" t="s">
        <v>21</v>
      </c>
      <c r="L13" s="26" t="s">
        <v>57</v>
      </c>
      <c r="M13" s="26" t="s">
        <v>58</v>
      </c>
      <c r="N13" s="26">
        <v>7</v>
      </c>
      <c r="O13" s="37"/>
    </row>
    <row r="14" s="17" customFormat="1" ht="33.75" spans="1:15">
      <c r="A14" s="25">
        <v>12</v>
      </c>
      <c r="B14" s="26" t="s">
        <v>59</v>
      </c>
      <c r="C14" s="25" t="s">
        <v>60</v>
      </c>
      <c r="D14" s="26" t="s">
        <v>61</v>
      </c>
      <c r="E14" s="26" t="s">
        <v>62</v>
      </c>
      <c r="F14" s="25" t="s">
        <v>20</v>
      </c>
      <c r="G14" s="25">
        <v>1</v>
      </c>
      <c r="H14" s="25">
        <f>'12折弯机MB8-100.3200-扬力'!D13</f>
        <v>0</v>
      </c>
      <c r="I14" s="25">
        <f t="shared" si="0"/>
        <v>0</v>
      </c>
      <c r="J14" s="25">
        <f t="shared" si="1"/>
        <v>0</v>
      </c>
      <c r="K14" s="25" t="s">
        <v>21</v>
      </c>
      <c r="L14" s="26" t="s">
        <v>63</v>
      </c>
      <c r="M14" s="26" t="s">
        <v>64</v>
      </c>
      <c r="N14" s="26">
        <v>7</v>
      </c>
      <c r="O14" s="37"/>
    </row>
    <row r="15" s="17" customFormat="1" ht="22.5" spans="1:15">
      <c r="A15" s="25">
        <v>13</v>
      </c>
      <c r="B15" s="28"/>
      <c r="C15" s="25" t="s">
        <v>60</v>
      </c>
      <c r="D15" s="26" t="s">
        <v>65</v>
      </c>
      <c r="E15" s="26" t="s">
        <v>66</v>
      </c>
      <c r="F15" s="25" t="s">
        <v>20</v>
      </c>
      <c r="G15" s="25">
        <v>3</v>
      </c>
      <c r="H15" s="25">
        <f>'13折弯机WC67Y-100 3200'!D11</f>
        <v>0</v>
      </c>
      <c r="I15" s="25">
        <f t="shared" si="0"/>
        <v>0</v>
      </c>
      <c r="J15" s="25">
        <f t="shared" si="1"/>
        <v>0</v>
      </c>
      <c r="K15" s="25" t="s">
        <v>21</v>
      </c>
      <c r="L15" s="26" t="s">
        <v>67</v>
      </c>
      <c r="M15" s="26" t="s">
        <v>68</v>
      </c>
      <c r="N15" s="26">
        <v>7</v>
      </c>
      <c r="O15" s="38"/>
    </row>
    <row r="16" s="17" customFormat="1" ht="22.5" spans="1:15">
      <c r="A16" s="25">
        <v>14</v>
      </c>
      <c r="B16" s="28"/>
      <c r="C16" s="25" t="s">
        <v>60</v>
      </c>
      <c r="D16" s="26" t="s">
        <v>69</v>
      </c>
      <c r="E16" s="26" t="s">
        <v>70</v>
      </c>
      <c r="F16" s="25" t="s">
        <v>20</v>
      </c>
      <c r="G16" s="25">
        <v>1</v>
      </c>
      <c r="H16" s="25">
        <f>'14折弯机PBB-160 4100'!D12</f>
        <v>0</v>
      </c>
      <c r="I16" s="25">
        <f t="shared" si="0"/>
        <v>0</v>
      </c>
      <c r="J16" s="25">
        <f t="shared" si="1"/>
        <v>0</v>
      </c>
      <c r="K16" s="25" t="s">
        <v>21</v>
      </c>
      <c r="L16" s="26" t="s">
        <v>71</v>
      </c>
      <c r="M16" s="26" t="s">
        <v>72</v>
      </c>
      <c r="N16" s="26">
        <v>7</v>
      </c>
      <c r="O16" s="38"/>
    </row>
    <row r="17" s="17" customFormat="1" ht="33.75" spans="1:15">
      <c r="A17" s="25">
        <v>15</v>
      </c>
      <c r="B17" s="28"/>
      <c r="C17" s="26" t="s">
        <v>54</v>
      </c>
      <c r="D17" s="29" t="s">
        <v>73</v>
      </c>
      <c r="E17" s="26" t="s">
        <v>74</v>
      </c>
      <c r="F17" s="25" t="s">
        <v>20</v>
      </c>
      <c r="G17" s="25">
        <v>1</v>
      </c>
      <c r="H17" s="25">
        <f>'15液压剪板机QC12K-6 2500-SY'!D12</f>
        <v>0</v>
      </c>
      <c r="I17" s="25">
        <f t="shared" si="0"/>
        <v>0</v>
      </c>
      <c r="J17" s="25">
        <f t="shared" si="1"/>
        <v>0</v>
      </c>
      <c r="K17" s="25" t="s">
        <v>21</v>
      </c>
      <c r="L17" s="26" t="s">
        <v>75</v>
      </c>
      <c r="M17" s="26" t="s">
        <v>76</v>
      </c>
      <c r="N17" s="26">
        <v>7</v>
      </c>
      <c r="O17" s="38"/>
    </row>
    <row r="18" s="17" customFormat="1" ht="22.5" spans="1:15">
      <c r="A18" s="25">
        <v>16</v>
      </c>
      <c r="B18" s="26" t="s">
        <v>77</v>
      </c>
      <c r="C18" s="26" t="s">
        <v>78</v>
      </c>
      <c r="D18" s="29"/>
      <c r="E18" s="26"/>
      <c r="F18" s="25" t="s">
        <v>79</v>
      </c>
      <c r="G18" s="25">
        <v>1</v>
      </c>
      <c r="H18" s="25">
        <f>焊接机器人电源!G4</f>
        <v>0</v>
      </c>
      <c r="I18" s="25">
        <f t="shared" si="0"/>
        <v>0</v>
      </c>
      <c r="J18" s="25">
        <f t="shared" si="1"/>
        <v>0</v>
      </c>
      <c r="K18" s="39" t="s">
        <v>21</v>
      </c>
      <c r="L18" s="26"/>
      <c r="M18" s="26"/>
      <c r="N18" s="26"/>
      <c r="O18" s="38"/>
    </row>
    <row r="19" spans="1:15">
      <c r="A19" s="30">
        <v>17</v>
      </c>
      <c r="B19" s="31" t="s">
        <v>10</v>
      </c>
      <c r="C19" s="30"/>
      <c r="D19" s="30"/>
      <c r="E19" s="30"/>
      <c r="F19" s="30"/>
      <c r="G19" s="30"/>
      <c r="H19" s="30"/>
      <c r="I19" s="30"/>
      <c r="J19" s="30">
        <f>SUM(J3:J18)</f>
        <v>0</v>
      </c>
      <c r="K19" s="30"/>
      <c r="L19" s="30"/>
      <c r="M19" s="30"/>
      <c r="N19" s="30"/>
      <c r="O19" s="40"/>
    </row>
  </sheetData>
  <mergeCells count="4">
    <mergeCell ref="A1:N1"/>
    <mergeCell ref="B3:B11"/>
    <mergeCell ref="B12:B13"/>
    <mergeCell ref="B14:B17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zoomScale="85" zoomScaleNormal="85" topLeftCell="A4" workbookViewId="0">
      <selection activeCell="N8" sqref="N8"/>
    </sheetView>
  </sheetViews>
  <sheetFormatPr defaultColWidth="9" defaultRowHeight="13.5" outlineLevelCol="7"/>
  <cols>
    <col min="3" max="3" width="21.25" customWidth="1"/>
    <col min="4" max="4" width="11.125"/>
    <col min="7" max="7" width="10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13" t="s">
        <v>142</v>
      </c>
      <c r="C2" s="1" t="s">
        <v>84</v>
      </c>
      <c r="D2" s="2">
        <f>(1.11+0.84)*2+20</f>
        <v>23.9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14"/>
      <c r="C3" s="1" t="s">
        <v>87</v>
      </c>
      <c r="D3" s="2">
        <f>1.11*0.84*0.95</f>
        <v>0.88578</v>
      </c>
      <c r="E3" s="1" t="s">
        <v>88</v>
      </c>
      <c r="F3" s="2"/>
      <c r="G3" s="2">
        <f t="shared" si="0"/>
        <v>0</v>
      </c>
      <c r="H3" s="4" t="s">
        <v>143</v>
      </c>
    </row>
    <row r="4" ht="45" customHeight="1" spans="1:8">
      <c r="A4" s="1">
        <v>3</v>
      </c>
      <c r="B4" s="14"/>
      <c r="C4" s="1" t="s">
        <v>90</v>
      </c>
      <c r="D4" s="2">
        <f>1.11*0.84*0.1</f>
        <v>0.09324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14"/>
      <c r="C5" s="1" t="s">
        <v>92</v>
      </c>
      <c r="D5" s="2">
        <f>1.11*0.84*0.85</f>
        <v>0.79254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14"/>
      <c r="C6" s="1" t="s">
        <v>93</v>
      </c>
      <c r="D6" s="2">
        <f>0.18*0.24*4*0.6</f>
        <v>0.10368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14"/>
      <c r="C7" s="1" t="s">
        <v>137</v>
      </c>
      <c r="D7" s="2">
        <v>4</v>
      </c>
      <c r="E7" s="1" t="s">
        <v>95</v>
      </c>
      <c r="F7" s="2"/>
      <c r="G7" s="2">
        <f t="shared" si="0"/>
        <v>0</v>
      </c>
      <c r="H7" s="4" t="s">
        <v>138</v>
      </c>
    </row>
    <row r="8" ht="45" customHeight="1" spans="1:8">
      <c r="A8" s="1">
        <v>7</v>
      </c>
      <c r="B8" s="14"/>
      <c r="C8" s="1" t="s">
        <v>97</v>
      </c>
      <c r="D8" s="2">
        <f>(0.18+0.24)*2*0.8*4</f>
        <v>2.688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14"/>
      <c r="C9" s="1" t="s">
        <v>139</v>
      </c>
      <c r="D9" s="2">
        <f>0.00617*16*16*1.11*0.84/0.15*2*2</f>
        <v>39.27318528</v>
      </c>
      <c r="E9" s="1" t="s">
        <v>100</v>
      </c>
      <c r="F9" s="2"/>
      <c r="G9" s="2">
        <f t="shared" si="0"/>
        <v>0</v>
      </c>
      <c r="H9" s="4" t="s">
        <v>109</v>
      </c>
    </row>
    <row r="10" ht="83" customHeight="1" spans="1:8">
      <c r="A10" s="1">
        <v>9</v>
      </c>
      <c r="B10" s="15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G10+G8+G7+G6+G5+G4+G3+G2+G9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6" max="6" width="10.375"/>
    <col min="7" max="7" width="11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3" t="s">
        <v>144</v>
      </c>
      <c r="C2" s="1" t="s">
        <v>84</v>
      </c>
      <c r="D2" s="2">
        <f>0.5*4*26+11*4+5*4</f>
        <v>116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5"/>
      <c r="C3" s="1" t="s">
        <v>87</v>
      </c>
      <c r="D3" s="2">
        <f>0.5*0.5*0.7*26+1.5*0.55*(11+5)*2</f>
        <v>30.95</v>
      </c>
      <c r="E3" s="1" t="s">
        <v>88</v>
      </c>
      <c r="F3" s="2"/>
      <c r="G3" s="2">
        <f t="shared" si="0"/>
        <v>0</v>
      </c>
      <c r="H3" s="4" t="s">
        <v>145</v>
      </c>
    </row>
    <row r="4" ht="45" customHeight="1" spans="1:8">
      <c r="A4" s="1">
        <v>4</v>
      </c>
      <c r="B4" s="5"/>
      <c r="C4" s="1" t="s">
        <v>146</v>
      </c>
      <c r="D4" s="2">
        <f>0.5*0.5*0.7*26+0.2*(11+5)*2</f>
        <v>10.95</v>
      </c>
      <c r="E4" s="1" t="s">
        <v>88</v>
      </c>
      <c r="F4" s="2"/>
      <c r="G4" s="2">
        <f t="shared" si="0"/>
        <v>0</v>
      </c>
      <c r="H4" s="4"/>
    </row>
    <row r="5" ht="93" customHeight="1" spans="1:8">
      <c r="A5" s="1">
        <v>5</v>
      </c>
      <c r="B5" s="5"/>
      <c r="C5" s="1" t="s">
        <v>125</v>
      </c>
      <c r="D5" s="6">
        <f>16*2*1.15*0.35</f>
        <v>12.88</v>
      </c>
      <c r="E5" s="7" t="s">
        <v>88</v>
      </c>
      <c r="F5" s="6"/>
      <c r="G5" s="2">
        <f t="shared" si="0"/>
        <v>0</v>
      </c>
      <c r="H5" s="4"/>
    </row>
    <row r="6" ht="45" customHeight="1" spans="1:8">
      <c r="A6" s="1">
        <v>6</v>
      </c>
      <c r="B6" s="5"/>
      <c r="C6" s="1" t="s">
        <v>147</v>
      </c>
      <c r="D6" s="2">
        <v>0.659</v>
      </c>
      <c r="E6" s="1" t="s">
        <v>85</v>
      </c>
      <c r="F6" s="2"/>
      <c r="G6" s="2">
        <f t="shared" si="0"/>
        <v>0</v>
      </c>
      <c r="H6" s="4" t="s">
        <v>148</v>
      </c>
    </row>
    <row r="7" ht="45" customHeight="1" spans="1:8">
      <c r="A7" s="1">
        <v>7</v>
      </c>
      <c r="B7" s="5"/>
      <c r="C7" s="1" t="s">
        <v>97</v>
      </c>
      <c r="D7" s="2">
        <f>16*1.5*2</f>
        <v>48</v>
      </c>
      <c r="E7" s="1" t="s">
        <v>98</v>
      </c>
      <c r="F7" s="2"/>
      <c r="G7" s="2">
        <f t="shared" si="0"/>
        <v>0</v>
      </c>
      <c r="H7" s="4"/>
    </row>
    <row r="8" ht="45" customHeight="1" spans="1:8">
      <c r="A8" s="1">
        <v>8</v>
      </c>
      <c r="B8" s="5"/>
      <c r="C8" s="1" t="s">
        <v>139</v>
      </c>
      <c r="D8" s="2">
        <f>0.00617*16*16*0.6*4*26+0.24*0.24*0.02*7580*26</f>
        <v>325.598208</v>
      </c>
      <c r="E8" s="1" t="s">
        <v>100</v>
      </c>
      <c r="F8" s="2"/>
      <c r="G8" s="2">
        <f t="shared" si="0"/>
        <v>0</v>
      </c>
      <c r="H8" s="4" t="s">
        <v>149</v>
      </c>
    </row>
    <row r="9" ht="45" customHeight="1" spans="1:8">
      <c r="A9" s="1"/>
      <c r="B9" s="5"/>
      <c r="C9" s="1" t="s">
        <v>128</v>
      </c>
      <c r="D9" s="12">
        <v>0.011168</v>
      </c>
      <c r="E9" s="7" t="s">
        <v>122</v>
      </c>
      <c r="F9" s="6"/>
      <c r="G9" s="2">
        <f t="shared" si="0"/>
        <v>0</v>
      </c>
      <c r="H9" s="4"/>
    </row>
    <row r="10" ht="83" customHeight="1" spans="1:8">
      <c r="A10" s="1">
        <v>9</v>
      </c>
      <c r="B10" s="10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G10+G7+G6+G5+G4+G3+G2+G8+G9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opLeftCell="A3"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7" max="7" width="10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3" t="s">
        <v>150</v>
      </c>
      <c r="C2" s="1" t="s">
        <v>84</v>
      </c>
      <c r="D2" s="2">
        <f>(4.25+1.8)*2+20</f>
        <v>32.1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5"/>
      <c r="C3" s="1" t="s">
        <v>87</v>
      </c>
      <c r="D3" s="2">
        <f>4.25*1.8*1.1</f>
        <v>8.415</v>
      </c>
      <c r="E3" s="1" t="s">
        <v>88</v>
      </c>
      <c r="F3" s="2"/>
      <c r="G3" s="2">
        <f t="shared" si="0"/>
        <v>0</v>
      </c>
      <c r="H3" s="4" t="s">
        <v>108</v>
      </c>
    </row>
    <row r="4" ht="45" customHeight="1" spans="1:8">
      <c r="A4" s="1">
        <v>3</v>
      </c>
      <c r="B4" s="5"/>
      <c r="C4" s="1" t="s">
        <v>90</v>
      </c>
      <c r="D4" s="2">
        <f>4.25*1.8*0.1</f>
        <v>0.765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5"/>
      <c r="C5" s="1" t="s">
        <v>92</v>
      </c>
      <c r="D5" s="2">
        <f>4.25*1.8*1-D6</f>
        <v>7.52304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5"/>
      <c r="C6" s="1" t="s">
        <v>93</v>
      </c>
      <c r="D6" s="2">
        <f>0.23*0.23*4*0.6</f>
        <v>0.12696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5"/>
      <c r="C7" s="1" t="s">
        <v>151</v>
      </c>
      <c r="D7" s="2">
        <v>4</v>
      </c>
      <c r="E7" s="1" t="s">
        <v>95</v>
      </c>
      <c r="F7" s="2"/>
      <c r="G7" s="2">
        <f t="shared" si="0"/>
        <v>0</v>
      </c>
      <c r="H7" s="4" t="s">
        <v>152</v>
      </c>
    </row>
    <row r="8" ht="45" customHeight="1" spans="1:8">
      <c r="A8" s="1">
        <v>7</v>
      </c>
      <c r="B8" s="5"/>
      <c r="C8" s="1" t="s">
        <v>97</v>
      </c>
      <c r="D8" s="2">
        <f>(0.23+0.23)*2*0.6*4+0.3*0.3*4</f>
        <v>2.568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5"/>
      <c r="C9" s="1" t="s">
        <v>99</v>
      </c>
      <c r="D9" s="2">
        <f>0.00617*16*16*4.25*1.84/0.15*2*2</f>
        <v>329.382570666667</v>
      </c>
      <c r="E9" s="1" t="s">
        <v>100</v>
      </c>
      <c r="F9" s="2"/>
      <c r="G9" s="2">
        <f t="shared" si="0"/>
        <v>0</v>
      </c>
      <c r="H9" s="4" t="s">
        <v>109</v>
      </c>
    </row>
    <row r="10" ht="83" customHeight="1" spans="1:8">
      <c r="A10" s="1">
        <v>9</v>
      </c>
      <c r="B10" s="10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G10+G8+G7+G6+G5+G4+G3+G2+G9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opLeftCell="A5" workbookViewId="0">
      <selection activeCell="F2" sqref="F2:F12"/>
    </sheetView>
  </sheetViews>
  <sheetFormatPr defaultColWidth="9" defaultRowHeight="13.5" outlineLevelCol="7"/>
  <cols>
    <col min="3" max="3" width="21.25" customWidth="1"/>
    <col min="4" max="4" width="11.125"/>
    <col min="7" max="7" width="11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3" t="s">
        <v>153</v>
      </c>
      <c r="C2" s="1" t="s">
        <v>84</v>
      </c>
      <c r="D2" s="2">
        <f>(4.3+2.58)*2+20</f>
        <v>33.76</v>
      </c>
      <c r="E2" s="1" t="s">
        <v>85</v>
      </c>
      <c r="F2" s="2"/>
      <c r="G2" s="2">
        <f t="shared" ref="G2:G12" si="0">F2*D2</f>
        <v>0</v>
      </c>
      <c r="H2" s="4" t="s">
        <v>86</v>
      </c>
    </row>
    <row r="3" ht="84" customHeight="1" spans="1:8">
      <c r="A3" s="1">
        <v>2</v>
      </c>
      <c r="B3" s="5"/>
      <c r="C3" s="1" t="s">
        <v>87</v>
      </c>
      <c r="D3" s="2">
        <f>4.3*2.58*0.9+0.1*0.1*10</f>
        <v>10.0846</v>
      </c>
      <c r="E3" s="1" t="s">
        <v>88</v>
      </c>
      <c r="F3" s="2"/>
      <c r="G3" s="2">
        <f t="shared" si="0"/>
        <v>0</v>
      </c>
      <c r="H3" s="4" t="s">
        <v>154</v>
      </c>
    </row>
    <row r="4" ht="45" customHeight="1" spans="1:8">
      <c r="A4" s="1">
        <v>3</v>
      </c>
      <c r="B4" s="5"/>
      <c r="C4" s="1" t="s">
        <v>90</v>
      </c>
      <c r="D4" s="2">
        <f>4.3*2.58*0.1</f>
        <v>1.1094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5"/>
      <c r="C5" s="1" t="s">
        <v>92</v>
      </c>
      <c r="D5" s="2">
        <f>4.3*2.58*0.8-D6</f>
        <v>8.64824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5"/>
      <c r="C6" s="1" t="s">
        <v>93</v>
      </c>
      <c r="D6" s="2">
        <f>0.23*0.23*4*0.6+0.1*0.1*10</f>
        <v>0.22696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5"/>
      <c r="C7" s="1" t="s">
        <v>151</v>
      </c>
      <c r="D7" s="2">
        <v>4</v>
      </c>
      <c r="E7" s="1" t="s">
        <v>95</v>
      </c>
      <c r="F7" s="2"/>
      <c r="G7" s="2">
        <f t="shared" si="0"/>
        <v>0</v>
      </c>
      <c r="H7" s="4" t="s">
        <v>152</v>
      </c>
    </row>
    <row r="8" ht="45" customHeight="1" spans="1:8">
      <c r="A8" s="1">
        <v>7</v>
      </c>
      <c r="B8" s="5"/>
      <c r="C8" s="1" t="s">
        <v>97</v>
      </c>
      <c r="D8" s="2">
        <f>(0.23+0.23)*2*0.6*4+0.3*0.3*4</f>
        <v>2.568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5"/>
      <c r="C9" s="1" t="s">
        <v>99</v>
      </c>
      <c r="D9" s="2">
        <f>0.00617*16*16*4.3*2.58/0.15*2*2</f>
        <v>467.2851968</v>
      </c>
      <c r="E9" s="1" t="s">
        <v>100</v>
      </c>
      <c r="F9" s="2"/>
      <c r="G9" s="2">
        <f t="shared" si="0"/>
        <v>0</v>
      </c>
      <c r="H9" s="4" t="s">
        <v>109</v>
      </c>
    </row>
    <row r="10" ht="45" customHeight="1" spans="1:8">
      <c r="A10" s="1">
        <v>9</v>
      </c>
      <c r="B10" s="5"/>
      <c r="C10" s="1" t="s">
        <v>155</v>
      </c>
      <c r="D10" s="2">
        <v>10</v>
      </c>
      <c r="E10" s="1" t="s">
        <v>111</v>
      </c>
      <c r="F10" s="2"/>
      <c r="G10" s="2">
        <f t="shared" si="0"/>
        <v>0</v>
      </c>
      <c r="H10" s="4"/>
    </row>
    <row r="11" ht="45" customHeight="1" spans="1:8">
      <c r="A11" s="1">
        <v>10</v>
      </c>
      <c r="B11" s="5"/>
      <c r="C11" s="1" t="s">
        <v>156</v>
      </c>
      <c r="D11" s="2">
        <f>0.14*10</f>
        <v>1.4</v>
      </c>
      <c r="E11" s="1" t="s">
        <v>98</v>
      </c>
      <c r="F11" s="2"/>
      <c r="G11" s="2">
        <f t="shared" si="0"/>
        <v>0</v>
      </c>
      <c r="H11" s="4" t="s">
        <v>157</v>
      </c>
    </row>
    <row r="12" ht="83" customHeight="1" spans="1:8">
      <c r="A12" s="1">
        <v>11</v>
      </c>
      <c r="B12" s="10"/>
      <c r="C12" s="1" t="s">
        <v>102</v>
      </c>
      <c r="D12" s="2">
        <v>1</v>
      </c>
      <c r="E12" s="2" t="s">
        <v>79</v>
      </c>
      <c r="F12" s="2"/>
      <c r="G12" s="2">
        <f t="shared" si="0"/>
        <v>0</v>
      </c>
      <c r="H12" s="2" t="s">
        <v>103</v>
      </c>
    </row>
    <row r="13" ht="45.75" customHeight="1" spans="1:8">
      <c r="A13" s="1">
        <v>12</v>
      </c>
      <c r="B13" s="1" t="s">
        <v>104</v>
      </c>
      <c r="C13" s="1"/>
      <c r="D13" s="2">
        <f>G12+G8+G7+G6+G5+G4+G3+G2+G9+G11+G10</f>
        <v>0</v>
      </c>
      <c r="E13" s="2"/>
      <c r="F13" s="2"/>
      <c r="G13" s="2"/>
      <c r="H13" s="2"/>
    </row>
    <row r="14" ht="45.75" customHeight="1" spans="1:8">
      <c r="A14" s="1">
        <v>13</v>
      </c>
      <c r="B14" s="1" t="s">
        <v>105</v>
      </c>
      <c r="C14" s="11">
        <v>0.09</v>
      </c>
      <c r="D14" s="2">
        <f>D13*0.09</f>
        <v>0</v>
      </c>
      <c r="E14" s="2"/>
      <c r="F14" s="2"/>
      <c r="G14" s="2"/>
      <c r="H14" s="2"/>
    </row>
    <row r="15" ht="45.75" customHeight="1" spans="1:8">
      <c r="A15" s="1">
        <v>14</v>
      </c>
      <c r="B15" s="8" t="s">
        <v>106</v>
      </c>
      <c r="C15" s="1"/>
      <c r="D15" s="9">
        <f>D14+D13</f>
        <v>0</v>
      </c>
      <c r="E15" s="9"/>
      <c r="F15" s="9"/>
      <c r="G15" s="9"/>
      <c r="H15" s="9"/>
    </row>
  </sheetData>
  <mergeCells count="4">
    <mergeCell ref="D13:H13"/>
    <mergeCell ref="D14:H14"/>
    <mergeCell ref="D15:H15"/>
    <mergeCell ref="B2:B12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opLeftCell="A4"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7" max="7" width="11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3" t="s">
        <v>158</v>
      </c>
      <c r="C2" s="1" t="s">
        <v>84</v>
      </c>
      <c r="D2" s="2">
        <f>(0.4+0.4)*2*4+20</f>
        <v>26.4</v>
      </c>
      <c r="E2" s="1" t="s">
        <v>85</v>
      </c>
      <c r="F2" s="2"/>
      <c r="G2" s="2">
        <f>F2*D2</f>
        <v>0</v>
      </c>
      <c r="H2" s="4" t="s">
        <v>86</v>
      </c>
    </row>
    <row r="3" ht="84" customHeight="1" spans="1:8">
      <c r="A3" s="1">
        <v>2</v>
      </c>
      <c r="B3" s="5"/>
      <c r="C3" s="1" t="s">
        <v>87</v>
      </c>
      <c r="D3" s="2">
        <f>0.4*0.7*0.4*4</f>
        <v>0.448</v>
      </c>
      <c r="E3" s="1" t="s">
        <v>88</v>
      </c>
      <c r="F3" s="2"/>
      <c r="G3" s="2">
        <f>F3*D3</f>
        <v>0</v>
      </c>
      <c r="H3" s="4" t="s">
        <v>159</v>
      </c>
    </row>
    <row r="4" ht="45" customHeight="1" spans="1:8">
      <c r="A4" s="1">
        <v>4</v>
      </c>
      <c r="B4" s="5"/>
      <c r="C4" s="1" t="s">
        <v>92</v>
      </c>
      <c r="D4" s="2">
        <f>0.4*0.4*0.7*4-D5</f>
        <v>0.2745</v>
      </c>
      <c r="E4" s="1" t="s">
        <v>88</v>
      </c>
      <c r="F4" s="2"/>
      <c r="G4" s="2">
        <f t="shared" ref="G4:G10" si="0">F4*D4</f>
        <v>0</v>
      </c>
      <c r="H4" s="4"/>
    </row>
    <row r="5" ht="93" customHeight="1" spans="1:8">
      <c r="A5" s="1">
        <v>5</v>
      </c>
      <c r="B5" s="5"/>
      <c r="C5" s="1" t="s">
        <v>93</v>
      </c>
      <c r="D5" s="2">
        <f>0.175*0.175*0.6*4+0.1*0.1*10</f>
        <v>0.1735</v>
      </c>
      <c r="E5" s="1" t="s">
        <v>88</v>
      </c>
      <c r="F5" s="2"/>
      <c r="G5" s="2">
        <f t="shared" si="0"/>
        <v>0</v>
      </c>
      <c r="H5" s="4"/>
    </row>
    <row r="6" ht="45" customHeight="1" spans="1:8">
      <c r="A6" s="1">
        <v>6</v>
      </c>
      <c r="B6" s="5"/>
      <c r="C6" s="1" t="s">
        <v>151</v>
      </c>
      <c r="D6" s="2">
        <v>4</v>
      </c>
      <c r="E6" s="1" t="s">
        <v>95</v>
      </c>
      <c r="F6" s="2"/>
      <c r="G6" s="2">
        <f t="shared" si="0"/>
        <v>0</v>
      </c>
      <c r="H6" s="4" t="s">
        <v>152</v>
      </c>
    </row>
    <row r="7" ht="45" customHeight="1" spans="1:8">
      <c r="A7" s="1">
        <v>7</v>
      </c>
      <c r="B7" s="5"/>
      <c r="C7" s="1" t="s">
        <v>97</v>
      </c>
      <c r="D7" s="2">
        <f>(0.15+0.15)*2*0.6*4+0.2*0.2*4</f>
        <v>1.6</v>
      </c>
      <c r="E7" s="1" t="s">
        <v>98</v>
      </c>
      <c r="F7" s="2"/>
      <c r="G7" s="2">
        <f t="shared" si="0"/>
        <v>0</v>
      </c>
      <c r="H7" s="4"/>
    </row>
    <row r="8" ht="45" customHeight="1" spans="1:8">
      <c r="A8" s="1">
        <v>8</v>
      </c>
      <c r="B8" s="5"/>
      <c r="C8" s="1" t="s">
        <v>160</v>
      </c>
      <c r="D8" s="2">
        <f>0.00617*16*16*0.4*0.4/0.15*2*4+0.12*0.12*7580*0.02*4</f>
        <v>22.2107306666667</v>
      </c>
      <c r="E8" s="1" t="s">
        <v>100</v>
      </c>
      <c r="F8" s="2"/>
      <c r="G8" s="2">
        <f t="shared" si="0"/>
        <v>0</v>
      </c>
      <c r="H8" s="4" t="s">
        <v>161</v>
      </c>
    </row>
    <row r="9" ht="45" customHeight="1" spans="1:8">
      <c r="A9" s="1">
        <v>9</v>
      </c>
      <c r="B9" s="5"/>
      <c r="C9" s="1" t="s">
        <v>155</v>
      </c>
      <c r="D9" s="2">
        <v>10</v>
      </c>
      <c r="E9" s="1" t="s">
        <v>85</v>
      </c>
      <c r="F9" s="2"/>
      <c r="G9" s="2">
        <f t="shared" si="0"/>
        <v>0</v>
      </c>
      <c r="H9" s="4"/>
    </row>
    <row r="10" ht="83" customHeight="1" spans="1:8">
      <c r="A10" s="1">
        <v>10</v>
      </c>
      <c r="B10" s="10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11</v>
      </c>
      <c r="B11" s="1" t="s">
        <v>104</v>
      </c>
      <c r="C11" s="1"/>
      <c r="D11" s="2">
        <f>G10+G7+G6+G5+G4+G3+G2+G8+G9</f>
        <v>0</v>
      </c>
      <c r="E11" s="2"/>
      <c r="F11" s="2"/>
      <c r="G11" s="2"/>
      <c r="H11" s="2"/>
    </row>
    <row r="12" ht="45.75" customHeight="1" spans="1:8">
      <c r="A12" s="1">
        <v>12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13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opLeftCell="A4" workbookViewId="0">
      <selection activeCell="M8" sqref="M8"/>
    </sheetView>
  </sheetViews>
  <sheetFormatPr defaultColWidth="9" defaultRowHeight="13.5" outlineLevelCol="7"/>
  <cols>
    <col min="3" max="3" width="21.25" customWidth="1"/>
    <col min="4" max="4" width="11.125"/>
    <col min="7" max="7" width="11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3" t="s">
        <v>162</v>
      </c>
      <c r="C2" s="1" t="s">
        <v>84</v>
      </c>
      <c r="D2" s="2">
        <f>(4.54+1.72)*2+20</f>
        <v>32.52</v>
      </c>
      <c r="E2" s="1" t="s">
        <v>85</v>
      </c>
      <c r="F2" s="2"/>
      <c r="G2" s="2">
        <f t="shared" ref="G2:G11" si="0">F2*D2</f>
        <v>0</v>
      </c>
      <c r="H2" s="4" t="s">
        <v>86</v>
      </c>
    </row>
    <row r="3" ht="84" customHeight="1" spans="1:8">
      <c r="A3" s="1">
        <v>2</v>
      </c>
      <c r="B3" s="5"/>
      <c r="C3" s="1" t="s">
        <v>87</v>
      </c>
      <c r="D3" s="2">
        <f>(4.54*1.72-0.9*3.24)*0.75</f>
        <v>3.6696</v>
      </c>
      <c r="E3" s="1" t="s">
        <v>88</v>
      </c>
      <c r="F3" s="2"/>
      <c r="G3" s="2">
        <f t="shared" si="0"/>
        <v>0</v>
      </c>
      <c r="H3" s="4" t="s">
        <v>136</v>
      </c>
    </row>
    <row r="4" ht="45" customHeight="1" spans="1:8">
      <c r="A4" s="1">
        <v>3</v>
      </c>
      <c r="B4" s="5"/>
      <c r="C4" s="1" t="s">
        <v>90</v>
      </c>
      <c r="D4" s="2">
        <f>(4.54*1.72-0.9*3.24)*0.1</f>
        <v>0.48928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5"/>
      <c r="C5" s="1" t="s">
        <v>92</v>
      </c>
      <c r="D5" s="2">
        <f>(4.54*1.72-0.9*3.24)*0.65-D6</f>
        <v>3.05336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5"/>
      <c r="C6" s="1" t="s">
        <v>93</v>
      </c>
      <c r="D6" s="2">
        <f>0.23*0.23*4*0.6</f>
        <v>0.12696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5"/>
      <c r="C7" s="1" t="s">
        <v>151</v>
      </c>
      <c r="D7" s="2">
        <v>4</v>
      </c>
      <c r="E7" s="1" t="s">
        <v>95</v>
      </c>
      <c r="F7" s="2"/>
      <c r="G7" s="2">
        <f t="shared" si="0"/>
        <v>0</v>
      </c>
      <c r="H7" s="4" t="s">
        <v>152</v>
      </c>
    </row>
    <row r="8" ht="45" customHeight="1" spans="1:8">
      <c r="A8" s="1">
        <v>7</v>
      </c>
      <c r="B8" s="5"/>
      <c r="C8" s="1" t="s">
        <v>97</v>
      </c>
      <c r="D8" s="2">
        <f>(0.23+0.23)*2*0.6*4+0.3*0.3*4</f>
        <v>2.568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5"/>
      <c r="C9" s="1" t="s">
        <v>163</v>
      </c>
      <c r="D9" s="2">
        <v>10</v>
      </c>
      <c r="E9" s="1" t="s">
        <v>85</v>
      </c>
      <c r="F9" s="2"/>
      <c r="G9" s="2">
        <f t="shared" si="0"/>
        <v>0</v>
      </c>
      <c r="H9" s="4"/>
    </row>
    <row r="10" ht="45" customHeight="1" spans="1:8">
      <c r="A10" s="1">
        <v>9</v>
      </c>
      <c r="B10" s="5"/>
      <c r="C10" s="1" t="s">
        <v>160</v>
      </c>
      <c r="D10" s="2">
        <f>0.00617*16*16*(4.54*1.72-0.9*3.24)/0.15*2*2+0.2*0.1*0.04*7580*4</f>
        <v>230.343345493333</v>
      </c>
      <c r="E10" s="1" t="s">
        <v>100</v>
      </c>
      <c r="F10" s="2"/>
      <c r="G10" s="2">
        <f t="shared" si="0"/>
        <v>0</v>
      </c>
      <c r="H10" s="4" t="s">
        <v>164</v>
      </c>
    </row>
    <row r="11" ht="83" customHeight="1" spans="1:8">
      <c r="A11" s="1">
        <v>10</v>
      </c>
      <c r="B11" s="10"/>
      <c r="C11" s="1" t="s">
        <v>102</v>
      </c>
      <c r="D11" s="2">
        <v>1</v>
      </c>
      <c r="E11" s="2" t="s">
        <v>79</v>
      </c>
      <c r="F11" s="2"/>
      <c r="G11" s="2">
        <f t="shared" si="0"/>
        <v>0</v>
      </c>
      <c r="H11" s="2" t="s">
        <v>103</v>
      </c>
    </row>
    <row r="12" ht="45.75" customHeight="1" spans="1:8">
      <c r="A12" s="1">
        <v>11</v>
      </c>
      <c r="B12" s="1" t="s">
        <v>104</v>
      </c>
      <c r="C12" s="1"/>
      <c r="D12" s="2">
        <f>G11+G8+G7+G6+G5+G4+G3+G2+G10+G9</f>
        <v>0</v>
      </c>
      <c r="E12" s="2"/>
      <c r="F12" s="2"/>
      <c r="G12" s="2"/>
      <c r="H12" s="2"/>
    </row>
    <row r="13" ht="45.75" customHeight="1" spans="1:8">
      <c r="A13" s="1">
        <v>12</v>
      </c>
      <c r="B13" s="1" t="s">
        <v>105</v>
      </c>
      <c r="C13" s="11">
        <v>0.09</v>
      </c>
      <c r="D13" s="2">
        <f>D12*0.09</f>
        <v>0</v>
      </c>
      <c r="E13" s="2"/>
      <c r="F13" s="2"/>
      <c r="G13" s="2"/>
      <c r="H13" s="2"/>
    </row>
    <row r="14" ht="45.75" customHeight="1" spans="1:8">
      <c r="A14" s="1">
        <v>12</v>
      </c>
      <c r="B14" s="8" t="s">
        <v>106</v>
      </c>
      <c r="C14" s="1"/>
      <c r="D14" s="9">
        <f>D13+D12</f>
        <v>0</v>
      </c>
      <c r="E14" s="9"/>
      <c r="F14" s="9"/>
      <c r="G14" s="9"/>
      <c r="H14" s="9"/>
    </row>
  </sheetData>
  <mergeCells count="4">
    <mergeCell ref="D12:H12"/>
    <mergeCell ref="D13:H13"/>
    <mergeCell ref="D14:H14"/>
    <mergeCell ref="B2:B11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opLeftCell="A5" workbookViewId="0">
      <selection activeCell="F2" sqref="F2:F11"/>
    </sheetView>
  </sheetViews>
  <sheetFormatPr defaultColWidth="9" defaultRowHeight="13.5" outlineLevelCol="7"/>
  <cols>
    <col min="3" max="3" width="21.25" customWidth="1"/>
    <col min="4" max="4" width="11.125"/>
    <col min="7" max="7" width="11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3" t="s">
        <v>165</v>
      </c>
      <c r="C2" s="1" t="s">
        <v>84</v>
      </c>
      <c r="D2" s="2">
        <f>(3.615+2.2)*2+20</f>
        <v>31.63</v>
      </c>
      <c r="E2" s="1" t="s">
        <v>85</v>
      </c>
      <c r="F2" s="2"/>
      <c r="G2" s="2">
        <f t="shared" ref="G2:G11" si="0">F2*D2</f>
        <v>0</v>
      </c>
      <c r="H2" s="4" t="s">
        <v>86</v>
      </c>
    </row>
    <row r="3" ht="84" customHeight="1" spans="1:8">
      <c r="A3" s="1">
        <v>2</v>
      </c>
      <c r="B3" s="5"/>
      <c r="C3" s="1" t="s">
        <v>87</v>
      </c>
      <c r="D3" s="2">
        <f>(3.615*2.2)*0.75</f>
        <v>5.96475</v>
      </c>
      <c r="E3" s="1" t="s">
        <v>88</v>
      </c>
      <c r="F3" s="2"/>
      <c r="G3" s="2">
        <f t="shared" si="0"/>
        <v>0</v>
      </c>
      <c r="H3" s="4" t="s">
        <v>154</v>
      </c>
    </row>
    <row r="4" ht="45" customHeight="1" spans="1:8">
      <c r="A4" s="1">
        <v>3</v>
      </c>
      <c r="B4" s="5"/>
      <c r="C4" s="1" t="s">
        <v>90</v>
      </c>
      <c r="D4" s="2">
        <f>(3.615*2.2)*0.1</f>
        <v>0.7953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5"/>
      <c r="C5" s="1" t="s">
        <v>92</v>
      </c>
      <c r="D5" s="2">
        <f>(3.615*2.2)*0.8-D6</f>
        <v>6.23544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5"/>
      <c r="C6" s="1" t="s">
        <v>93</v>
      </c>
      <c r="D6" s="2">
        <f>0.23*0.23*4*0.6</f>
        <v>0.12696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5"/>
      <c r="C7" s="1" t="s">
        <v>151</v>
      </c>
      <c r="D7" s="2">
        <v>4</v>
      </c>
      <c r="E7" s="1" t="s">
        <v>95</v>
      </c>
      <c r="F7" s="2"/>
      <c r="G7" s="2">
        <f t="shared" si="0"/>
        <v>0</v>
      </c>
      <c r="H7" s="4" t="s">
        <v>152</v>
      </c>
    </row>
    <row r="8" ht="45" customHeight="1" spans="1:8">
      <c r="A8" s="1">
        <v>7</v>
      </c>
      <c r="B8" s="5"/>
      <c r="C8" s="1" t="s">
        <v>97</v>
      </c>
      <c r="D8" s="2">
        <f>(0.23+0.23)*2*0.6*4+0.3*0.3*4</f>
        <v>2.568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5"/>
      <c r="C9" s="1" t="s">
        <v>163</v>
      </c>
      <c r="D9" s="2">
        <v>10</v>
      </c>
      <c r="E9" s="1" t="s">
        <v>85</v>
      </c>
      <c r="F9" s="2"/>
      <c r="G9" s="2">
        <f t="shared" si="0"/>
        <v>0</v>
      </c>
      <c r="H9" s="4"/>
    </row>
    <row r="10" ht="45" customHeight="1" spans="1:8">
      <c r="A10" s="1">
        <v>9</v>
      </c>
      <c r="B10" s="5"/>
      <c r="C10" s="1" t="s">
        <v>160</v>
      </c>
      <c r="D10" s="2">
        <f>0.00617*16*16*2.2*3.615/0.15*2*2</f>
        <v>334.9846016</v>
      </c>
      <c r="E10" s="1" t="s">
        <v>100</v>
      </c>
      <c r="F10" s="2"/>
      <c r="G10" s="2">
        <f t="shared" si="0"/>
        <v>0</v>
      </c>
      <c r="H10" s="4" t="s">
        <v>109</v>
      </c>
    </row>
    <row r="11" ht="83" customHeight="1" spans="1:8">
      <c r="A11" s="1">
        <v>10</v>
      </c>
      <c r="B11" s="10"/>
      <c r="C11" s="1" t="s">
        <v>102</v>
      </c>
      <c r="D11" s="2">
        <v>1</v>
      </c>
      <c r="E11" s="2" t="s">
        <v>79</v>
      </c>
      <c r="F11" s="2"/>
      <c r="G11" s="2">
        <f t="shared" si="0"/>
        <v>0</v>
      </c>
      <c r="H11" s="2" t="s">
        <v>103</v>
      </c>
    </row>
    <row r="12" ht="45.75" customHeight="1" spans="1:8">
      <c r="A12" s="1">
        <v>11</v>
      </c>
      <c r="B12" s="1" t="s">
        <v>104</v>
      </c>
      <c r="C12" s="1"/>
      <c r="D12" s="2">
        <f>G11+G8+G7+G6+G5+G4+G3+G2+G10+G9</f>
        <v>0</v>
      </c>
      <c r="E12" s="2"/>
      <c r="F12" s="2"/>
      <c r="G12" s="2"/>
      <c r="H12" s="2"/>
    </row>
    <row r="13" ht="45.75" customHeight="1" spans="1:8">
      <c r="A13" s="1">
        <v>12</v>
      </c>
      <c r="B13" s="1" t="s">
        <v>105</v>
      </c>
      <c r="C13" s="11">
        <v>0.09</v>
      </c>
      <c r="D13" s="2">
        <f>D12*0.09</f>
        <v>0</v>
      </c>
      <c r="E13" s="2"/>
      <c r="F13" s="2"/>
      <c r="G13" s="2"/>
      <c r="H13" s="2"/>
    </row>
    <row r="14" ht="45.75" customHeight="1" spans="1:8">
      <c r="A14" s="1">
        <v>12</v>
      </c>
      <c r="B14" s="8" t="s">
        <v>106</v>
      </c>
      <c r="C14" s="1"/>
      <c r="D14" s="9">
        <f>D13+D12</f>
        <v>0</v>
      </c>
      <c r="E14" s="9"/>
      <c r="F14" s="9"/>
      <c r="G14" s="9"/>
      <c r="H14" s="9"/>
    </row>
  </sheetData>
  <mergeCells count="4">
    <mergeCell ref="D12:H12"/>
    <mergeCell ref="D13:H13"/>
    <mergeCell ref="D14:H14"/>
    <mergeCell ref="B2:B11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workbookViewId="0">
      <selection activeCell="F3" sqref="F3"/>
    </sheetView>
  </sheetViews>
  <sheetFormatPr defaultColWidth="9" defaultRowHeight="13.5" outlineLevelRow="5" outlineLevelCol="7"/>
  <cols>
    <col min="3" max="3" width="21.25" customWidth="1"/>
    <col min="4" max="4" width="11.125"/>
    <col min="6" max="6" width="10.375"/>
    <col min="7" max="7" width="11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3" t="s">
        <v>78</v>
      </c>
      <c r="C2" s="1" t="s">
        <v>166</v>
      </c>
      <c r="D2" s="2">
        <v>30</v>
      </c>
      <c r="E2" s="1" t="s">
        <v>85</v>
      </c>
      <c r="F2" s="2"/>
      <c r="G2" s="2">
        <f>D2*F2</f>
        <v>0</v>
      </c>
      <c r="H2" s="4" t="s">
        <v>167</v>
      </c>
    </row>
    <row r="3" ht="84" customHeight="1" spans="1:8">
      <c r="A3" s="1">
        <v>2</v>
      </c>
      <c r="B3" s="5"/>
      <c r="C3" s="1" t="s">
        <v>168</v>
      </c>
      <c r="D3" s="2">
        <v>1</v>
      </c>
      <c r="E3" s="1" t="s">
        <v>169</v>
      </c>
      <c r="F3" s="2"/>
      <c r="G3" s="2">
        <f>D3*F3</f>
        <v>0</v>
      </c>
      <c r="H3" s="4" t="s">
        <v>170</v>
      </c>
    </row>
    <row r="4" ht="93" customHeight="1" spans="1:8">
      <c r="A4" s="1">
        <v>3</v>
      </c>
      <c r="B4" s="5"/>
      <c r="C4" s="1" t="s">
        <v>104</v>
      </c>
      <c r="D4" s="6"/>
      <c r="E4" s="7"/>
      <c r="F4" s="6"/>
      <c r="G4" s="2">
        <f>SUM(G2:G3)</f>
        <v>0</v>
      </c>
      <c r="H4" s="4"/>
    </row>
    <row r="5" ht="93" customHeight="1" spans="1:8">
      <c r="A5" s="1">
        <v>4</v>
      </c>
      <c r="B5" s="5"/>
      <c r="C5" s="1" t="s">
        <v>105</v>
      </c>
      <c r="D5" s="6"/>
      <c r="E5" s="7"/>
      <c r="F5" s="6"/>
      <c r="G5" s="2">
        <f>G4*0.09</f>
        <v>0</v>
      </c>
      <c r="H5" s="4"/>
    </row>
    <row r="6" ht="45.75" customHeight="1" spans="1:8">
      <c r="A6" s="1">
        <v>5</v>
      </c>
      <c r="B6" s="8" t="s">
        <v>106</v>
      </c>
      <c r="C6" s="1"/>
      <c r="D6" s="9">
        <f>G5+G4</f>
        <v>0</v>
      </c>
      <c r="E6" s="9"/>
      <c r="F6" s="9"/>
      <c r="G6" s="9"/>
      <c r="H6" s="9"/>
    </row>
  </sheetData>
  <mergeCells count="2">
    <mergeCell ref="D6:H6"/>
    <mergeCell ref="B2:B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opLeftCell="A3"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7" max="7" width="10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13" t="s">
        <v>83</v>
      </c>
      <c r="C2" s="1" t="s">
        <v>84</v>
      </c>
      <c r="D2" s="2">
        <f>(1.78+2.218)*2+20</f>
        <v>27.996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14"/>
      <c r="C3" s="1" t="s">
        <v>87</v>
      </c>
      <c r="D3" s="2">
        <f>1.78*2.215*1.2</f>
        <v>4.73124</v>
      </c>
      <c r="E3" s="1" t="s">
        <v>88</v>
      </c>
      <c r="F3" s="2"/>
      <c r="G3" s="2">
        <f t="shared" si="0"/>
        <v>0</v>
      </c>
      <c r="H3" s="4" t="s">
        <v>89</v>
      </c>
    </row>
    <row r="4" ht="45" customHeight="1" spans="1:8">
      <c r="A4" s="1">
        <v>3</v>
      </c>
      <c r="B4" s="14"/>
      <c r="C4" s="1" t="s">
        <v>90</v>
      </c>
      <c r="D4" s="2">
        <f>1.78*2.215*0.1</f>
        <v>0.39427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14"/>
      <c r="C5" s="1" t="s">
        <v>92</v>
      </c>
      <c r="D5" s="2">
        <f>1.78*2.215*1.2-D6</f>
        <v>4.6704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14"/>
      <c r="C6" s="1" t="s">
        <v>93</v>
      </c>
      <c r="D6" s="2">
        <f>0.13*0.13*0.9*4</f>
        <v>0.06084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14"/>
      <c r="C7" s="1" t="s">
        <v>94</v>
      </c>
      <c r="D7" s="2">
        <v>4</v>
      </c>
      <c r="E7" s="1" t="s">
        <v>95</v>
      </c>
      <c r="F7" s="2"/>
      <c r="G7" s="2">
        <f t="shared" si="0"/>
        <v>0</v>
      </c>
      <c r="H7" s="4" t="s">
        <v>96</v>
      </c>
    </row>
    <row r="8" ht="45" customHeight="1" spans="1:8">
      <c r="A8" s="1">
        <v>7</v>
      </c>
      <c r="B8" s="14"/>
      <c r="C8" s="1" t="s">
        <v>97</v>
      </c>
      <c r="D8" s="2">
        <f>0.13*4*0.9*4</f>
        <v>1.872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14"/>
      <c r="C9" s="1" t="s">
        <v>99</v>
      </c>
      <c r="D9" s="2">
        <f>0.00617*12*12*1.78*2.215/0.15*2*2</f>
        <v>93.41360256</v>
      </c>
      <c r="E9" s="1" t="s">
        <v>100</v>
      </c>
      <c r="F9" s="2"/>
      <c r="G9" s="2">
        <f t="shared" si="0"/>
        <v>0</v>
      </c>
      <c r="H9" s="4" t="s">
        <v>101</v>
      </c>
    </row>
    <row r="10" ht="83" customHeight="1" spans="1:8">
      <c r="A10" s="1">
        <v>9</v>
      </c>
      <c r="B10" s="15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G10+G8+G7+G6+G5+G4+G3+G2+G9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opLeftCell="A2"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7" max="7" width="10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13" t="s">
        <v>107</v>
      </c>
      <c r="C2" s="1" t="s">
        <v>84</v>
      </c>
      <c r="D2" s="2">
        <f>(1.77+1.24)*2+20</f>
        <v>26.02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14"/>
      <c r="C3" s="1" t="s">
        <v>87</v>
      </c>
      <c r="D3" s="2">
        <f>1.77*1.24*1.1</f>
        <v>2.41428</v>
      </c>
      <c r="E3" s="1" t="s">
        <v>88</v>
      </c>
      <c r="F3" s="2"/>
      <c r="G3" s="2">
        <f t="shared" si="0"/>
        <v>0</v>
      </c>
      <c r="H3" s="4" t="s">
        <v>108</v>
      </c>
    </row>
    <row r="4" ht="45" customHeight="1" spans="1:8">
      <c r="A4" s="1">
        <v>3</v>
      </c>
      <c r="B4" s="14"/>
      <c r="C4" s="1" t="s">
        <v>90</v>
      </c>
      <c r="D4" s="2">
        <f>1.77*1.24*0.1</f>
        <v>0.21948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14"/>
      <c r="C5" s="1" t="s">
        <v>92</v>
      </c>
      <c r="D5" s="2">
        <f>1.77*1.24*1-D6</f>
        <v>2.01048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14"/>
      <c r="C6" s="1" t="s">
        <v>93</v>
      </c>
      <c r="D6" s="2">
        <f>0.24*0.24*4*0.8</f>
        <v>0.18432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14"/>
      <c r="C7" s="1" t="s">
        <v>94</v>
      </c>
      <c r="D7" s="2">
        <v>4</v>
      </c>
      <c r="E7" s="1" t="s">
        <v>95</v>
      </c>
      <c r="F7" s="2"/>
      <c r="G7" s="2">
        <f t="shared" si="0"/>
        <v>0</v>
      </c>
      <c r="H7" s="4" t="s">
        <v>96</v>
      </c>
    </row>
    <row r="8" ht="45" customHeight="1" spans="1:8">
      <c r="A8" s="1">
        <v>7</v>
      </c>
      <c r="B8" s="14"/>
      <c r="C8" s="1" t="s">
        <v>97</v>
      </c>
      <c r="D8" s="2">
        <f>0.24*4*0.8*4</f>
        <v>3.072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14"/>
      <c r="C9" s="1" t="s">
        <v>99</v>
      </c>
      <c r="D9" s="2">
        <f>0.00617*16*16*1.24*1.77/0.15*2*2</f>
        <v>92.44614656</v>
      </c>
      <c r="E9" s="1" t="s">
        <v>100</v>
      </c>
      <c r="F9" s="2"/>
      <c r="G9" s="2">
        <f t="shared" si="0"/>
        <v>0</v>
      </c>
      <c r="H9" s="4" t="s">
        <v>109</v>
      </c>
    </row>
    <row r="10" ht="83" customHeight="1" spans="1:8">
      <c r="A10" s="1">
        <v>9</v>
      </c>
      <c r="B10" s="15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G10+G8+G7+G6+G5+G4+G3+G2+G9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F2" sqref="F2:F14"/>
    </sheetView>
  </sheetViews>
  <sheetFormatPr defaultColWidth="9" defaultRowHeight="13.5" outlineLevelCol="7"/>
  <cols>
    <col min="3" max="3" width="21.25" customWidth="1"/>
    <col min="4" max="4" width="11.125"/>
    <col min="6" max="6" width="10.375"/>
    <col min="7" max="7" width="9.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13" t="s">
        <v>110</v>
      </c>
      <c r="C2" s="1" t="s">
        <v>84</v>
      </c>
      <c r="D2" s="16">
        <v>150.6</v>
      </c>
      <c r="E2" s="9" t="s">
        <v>111</v>
      </c>
      <c r="F2" s="6"/>
      <c r="G2" s="2">
        <f t="shared" ref="G2:G15" si="0">F2*D2</f>
        <v>0</v>
      </c>
      <c r="H2" s="4" t="s">
        <v>86</v>
      </c>
    </row>
    <row r="3" ht="45" customHeight="1" spans="1:8">
      <c r="A3" s="1">
        <v>2</v>
      </c>
      <c r="B3" s="14"/>
      <c r="C3" s="1" t="s">
        <v>112</v>
      </c>
      <c r="D3" s="16">
        <v>99.73</v>
      </c>
      <c r="E3" s="9" t="s">
        <v>113</v>
      </c>
      <c r="F3" s="6"/>
      <c r="G3" s="2">
        <f t="shared" si="0"/>
        <v>0</v>
      </c>
      <c r="H3" s="4" t="s">
        <v>114</v>
      </c>
    </row>
    <row r="4" ht="45" customHeight="1" spans="1:8">
      <c r="A4" s="1">
        <v>3</v>
      </c>
      <c r="B4" s="14"/>
      <c r="C4" s="1" t="s">
        <v>115</v>
      </c>
      <c r="D4" s="6">
        <v>51.49</v>
      </c>
      <c r="E4" s="7" t="s">
        <v>116</v>
      </c>
      <c r="F4" s="6"/>
      <c r="G4" s="2">
        <f t="shared" si="0"/>
        <v>0</v>
      </c>
      <c r="H4" s="4" t="s">
        <v>117</v>
      </c>
    </row>
    <row r="5" ht="45" customHeight="1" spans="1:8">
      <c r="A5" s="1">
        <v>4</v>
      </c>
      <c r="B5" s="14"/>
      <c r="C5" s="1" t="s">
        <v>118</v>
      </c>
      <c r="D5" s="6">
        <v>72.09775</v>
      </c>
      <c r="E5" s="7" t="s">
        <v>116</v>
      </c>
      <c r="F5" s="6"/>
      <c r="G5" s="2">
        <f t="shared" si="0"/>
        <v>0</v>
      </c>
      <c r="H5" s="4" t="s">
        <v>119</v>
      </c>
    </row>
    <row r="6" ht="93" customHeight="1" spans="1:8">
      <c r="A6" s="1">
        <v>5</v>
      </c>
      <c r="B6" s="14"/>
      <c r="C6" s="1" t="s">
        <v>120</v>
      </c>
      <c r="D6" s="6">
        <v>180</v>
      </c>
      <c r="E6" s="9" t="s">
        <v>113</v>
      </c>
      <c r="F6" s="6"/>
      <c r="G6" s="2">
        <f t="shared" si="0"/>
        <v>0</v>
      </c>
      <c r="H6" s="4" t="s">
        <v>121</v>
      </c>
    </row>
    <row r="7" ht="45" customHeight="1" spans="1:8">
      <c r="A7" s="1">
        <v>6</v>
      </c>
      <c r="B7" s="14"/>
      <c r="C7" s="1" t="s">
        <v>99</v>
      </c>
      <c r="D7" s="12">
        <v>1.508</v>
      </c>
      <c r="E7" s="7" t="s">
        <v>122</v>
      </c>
      <c r="F7" s="6"/>
      <c r="G7" s="2">
        <f t="shared" si="0"/>
        <v>0</v>
      </c>
      <c r="H7" s="4"/>
    </row>
    <row r="8" ht="45" customHeight="1" spans="1:8">
      <c r="A8" s="1">
        <v>7</v>
      </c>
      <c r="B8" s="14"/>
      <c r="C8" s="1" t="s">
        <v>123</v>
      </c>
      <c r="D8" s="12">
        <v>1.45</v>
      </c>
      <c r="E8" s="7" t="s">
        <v>122</v>
      </c>
      <c r="F8" s="6"/>
      <c r="G8" s="2">
        <f t="shared" si="0"/>
        <v>0</v>
      </c>
      <c r="H8" s="4"/>
    </row>
    <row r="9" ht="45" customHeight="1" spans="1:8">
      <c r="A9" s="1">
        <v>8</v>
      </c>
      <c r="B9" s="14"/>
      <c r="C9" s="1" t="s">
        <v>124</v>
      </c>
      <c r="D9" s="12">
        <f>1.63908/2</f>
        <v>0.81954</v>
      </c>
      <c r="E9" s="7" t="s">
        <v>122</v>
      </c>
      <c r="F9" s="6"/>
      <c r="G9" s="2">
        <f t="shared" si="0"/>
        <v>0</v>
      </c>
      <c r="H9" s="4"/>
    </row>
    <row r="10" ht="45" customHeight="1" spans="1:8">
      <c r="A10" s="1">
        <v>9</v>
      </c>
      <c r="B10" s="14"/>
      <c r="C10" s="1" t="s">
        <v>125</v>
      </c>
      <c r="D10" s="6">
        <v>21.0105</v>
      </c>
      <c r="E10" s="7" t="s">
        <v>116</v>
      </c>
      <c r="F10" s="6"/>
      <c r="G10" s="2">
        <f t="shared" si="0"/>
        <v>0</v>
      </c>
      <c r="H10" s="4"/>
    </row>
    <row r="11" ht="45" customHeight="1" spans="1:8">
      <c r="A11" s="1">
        <v>10</v>
      </c>
      <c r="B11" s="14"/>
      <c r="C11" s="1" t="s">
        <v>126</v>
      </c>
      <c r="D11" s="6">
        <v>12.8</v>
      </c>
      <c r="E11" s="7" t="s">
        <v>116</v>
      </c>
      <c r="F11" s="6"/>
      <c r="G11" s="2">
        <f t="shared" si="0"/>
        <v>0</v>
      </c>
      <c r="H11" s="4"/>
    </row>
    <row r="12" ht="45" customHeight="1" spans="1:8">
      <c r="A12" s="1">
        <v>11</v>
      </c>
      <c r="B12" s="14"/>
      <c r="C12" s="1" t="s">
        <v>127</v>
      </c>
      <c r="D12" s="6">
        <v>113.7575</v>
      </c>
      <c r="E12" s="9" t="s">
        <v>113</v>
      </c>
      <c r="F12" s="6"/>
      <c r="G12" s="2">
        <f t="shared" si="0"/>
        <v>0</v>
      </c>
      <c r="H12" s="4"/>
    </row>
    <row r="13" ht="45" customHeight="1" spans="1:8">
      <c r="A13" s="1">
        <v>12</v>
      </c>
      <c r="B13" s="14"/>
      <c r="C13" s="1" t="s">
        <v>128</v>
      </c>
      <c r="D13" s="12">
        <v>0.011168</v>
      </c>
      <c r="E13" s="7" t="s">
        <v>122</v>
      </c>
      <c r="F13" s="6"/>
      <c r="G13" s="2">
        <f t="shared" si="0"/>
        <v>0</v>
      </c>
      <c r="H13" s="4"/>
    </row>
    <row r="14" ht="78" customHeight="1" spans="1:8">
      <c r="A14" s="1">
        <v>13</v>
      </c>
      <c r="B14" s="15"/>
      <c r="C14" s="1" t="s">
        <v>102</v>
      </c>
      <c r="D14" s="2">
        <v>1</v>
      </c>
      <c r="E14" s="2" t="s">
        <v>79</v>
      </c>
      <c r="F14" s="2"/>
      <c r="G14" s="2">
        <f t="shared" si="0"/>
        <v>0</v>
      </c>
      <c r="H14" s="2" t="s">
        <v>129</v>
      </c>
    </row>
    <row r="15" ht="45.75" customHeight="1" spans="1:8">
      <c r="A15" s="1">
        <v>14</v>
      </c>
      <c r="B15" s="1" t="s">
        <v>104</v>
      </c>
      <c r="C15" s="1"/>
      <c r="D15" s="2">
        <f>G2+G3+G4+G5+G6+G7+G8+G9+G13+G12+G11+G10+G14</f>
        <v>0</v>
      </c>
      <c r="E15" s="2"/>
      <c r="F15" s="2"/>
      <c r="G15" s="2"/>
      <c r="H15" s="2"/>
    </row>
    <row r="16" ht="45.75" customHeight="1" spans="1:8">
      <c r="A16" s="1">
        <v>15</v>
      </c>
      <c r="B16" s="1" t="s">
        <v>105</v>
      </c>
      <c r="C16" s="11">
        <v>0.09</v>
      </c>
      <c r="D16" s="2">
        <f>D15*0.09</f>
        <v>0</v>
      </c>
      <c r="E16" s="2"/>
      <c r="F16" s="2"/>
      <c r="G16" s="2"/>
      <c r="H16" s="2"/>
    </row>
    <row r="17" ht="45.75" customHeight="1" spans="1:8">
      <c r="A17" s="1">
        <v>16</v>
      </c>
      <c r="B17" s="8" t="s">
        <v>106</v>
      </c>
      <c r="C17" s="1"/>
      <c r="D17" s="9">
        <f>D16+D15</f>
        <v>0</v>
      </c>
      <c r="E17" s="9"/>
      <c r="F17" s="9"/>
      <c r="G17" s="9"/>
      <c r="H17" s="9"/>
    </row>
  </sheetData>
  <mergeCells count="4">
    <mergeCell ref="D15:H15"/>
    <mergeCell ref="D16:H16"/>
    <mergeCell ref="D17:H17"/>
    <mergeCell ref="B2:B1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7" max="7" width="10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13" t="s">
        <v>130</v>
      </c>
      <c r="C2" s="1" t="s">
        <v>84</v>
      </c>
      <c r="D2" s="2">
        <f>(1.27+1.8)*2+20</f>
        <v>26.14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14"/>
      <c r="C3" s="1" t="s">
        <v>87</v>
      </c>
      <c r="D3" s="2">
        <f>1.8*1.27*1.1</f>
        <v>2.5146</v>
      </c>
      <c r="E3" s="1" t="s">
        <v>88</v>
      </c>
      <c r="F3" s="2"/>
      <c r="G3" s="2">
        <f t="shared" si="0"/>
        <v>0</v>
      </c>
      <c r="H3" s="4" t="s">
        <v>108</v>
      </c>
    </row>
    <row r="4" ht="45" customHeight="1" spans="1:8">
      <c r="A4" s="1">
        <v>3</v>
      </c>
      <c r="B4" s="14"/>
      <c r="C4" s="1" t="s">
        <v>90</v>
      </c>
      <c r="D4" s="2">
        <f>1.8*1.27*0.1</f>
        <v>0.2286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14"/>
      <c r="C5" s="1" t="s">
        <v>92</v>
      </c>
      <c r="D5" s="2">
        <f>1.8*1.27*1-D6</f>
        <v>2.10168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14"/>
      <c r="C6" s="1" t="s">
        <v>93</v>
      </c>
      <c r="D6" s="2">
        <f>0.24*0.24*4*0.8</f>
        <v>0.18432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14"/>
      <c r="C7" s="1" t="s">
        <v>131</v>
      </c>
      <c r="D7" s="2">
        <v>4</v>
      </c>
      <c r="E7" s="1" t="s">
        <v>95</v>
      </c>
      <c r="F7" s="2"/>
      <c r="G7" s="2">
        <f t="shared" si="0"/>
        <v>0</v>
      </c>
      <c r="H7" s="4" t="s">
        <v>132</v>
      </c>
    </row>
    <row r="8" ht="45" customHeight="1" spans="1:8">
      <c r="A8" s="1">
        <v>7</v>
      </c>
      <c r="B8" s="14"/>
      <c r="C8" s="1" t="s">
        <v>97</v>
      </c>
      <c r="D8" s="2">
        <f>0.24*4*0.8*4</f>
        <v>3.072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14"/>
      <c r="C9" s="1" t="s">
        <v>99</v>
      </c>
      <c r="D9" s="2">
        <f>0.00617*16*16*1.27*1.8/0.15*2*2</f>
        <v>96.2875392</v>
      </c>
      <c r="E9" s="1" t="s">
        <v>100</v>
      </c>
      <c r="F9" s="2"/>
      <c r="G9" s="2">
        <f t="shared" si="0"/>
        <v>0</v>
      </c>
      <c r="H9" s="4" t="s">
        <v>109</v>
      </c>
    </row>
    <row r="10" ht="83" customHeight="1" spans="1:8">
      <c r="A10" s="1">
        <v>9</v>
      </c>
      <c r="B10" s="15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G10+G8+G7+G6+G5+G4+G3+G2+G9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7" max="7" width="10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13" t="s">
        <v>133</v>
      </c>
      <c r="C2" s="1" t="s">
        <v>84</v>
      </c>
      <c r="D2" s="2">
        <f>(1.55+1.23)*2+20</f>
        <v>25.56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14"/>
      <c r="C3" s="1" t="s">
        <v>87</v>
      </c>
      <c r="D3" s="2">
        <f>1.55*1.23*1.1</f>
        <v>2.09715</v>
      </c>
      <c r="E3" s="1" t="s">
        <v>88</v>
      </c>
      <c r="F3" s="2"/>
      <c r="G3" s="2">
        <f t="shared" si="0"/>
        <v>0</v>
      </c>
      <c r="H3" s="4" t="s">
        <v>108</v>
      </c>
    </row>
    <row r="4" ht="45" customHeight="1" spans="1:8">
      <c r="A4" s="1">
        <v>3</v>
      </c>
      <c r="B4" s="14"/>
      <c r="C4" s="1" t="s">
        <v>90</v>
      </c>
      <c r="D4" s="2">
        <f>1.55*1.23*0.1</f>
        <v>0.19065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14"/>
      <c r="C5" s="1" t="s">
        <v>92</v>
      </c>
      <c r="D5" s="2">
        <f>1.55*1.23*1-D6-0.5*0.5*0.45</f>
        <v>1.69032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14"/>
      <c r="C6" s="1" t="s">
        <v>93</v>
      </c>
      <c r="D6" s="2">
        <f>0.18*0.18*4*0.8</f>
        <v>0.10368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14"/>
      <c r="C7" s="1" t="s">
        <v>94</v>
      </c>
      <c r="D7" s="2">
        <v>4</v>
      </c>
      <c r="E7" s="1" t="s">
        <v>95</v>
      </c>
      <c r="F7" s="2"/>
      <c r="G7" s="2">
        <f t="shared" si="0"/>
        <v>0</v>
      </c>
      <c r="H7" s="4" t="s">
        <v>96</v>
      </c>
    </row>
    <row r="8" ht="45" customHeight="1" spans="1:8">
      <c r="A8" s="1">
        <v>7</v>
      </c>
      <c r="B8" s="14"/>
      <c r="C8" s="1" t="s">
        <v>97</v>
      </c>
      <c r="D8" s="2">
        <f>0.18*4*0.8*4+0.5*4*0.45+0.5*0.5</f>
        <v>3.454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14"/>
      <c r="C9" s="1" t="s">
        <v>99</v>
      </c>
      <c r="D9" s="2">
        <f>0.00617*16*16*1.23*1.55/0.15*2*2</f>
        <v>80.3027968</v>
      </c>
      <c r="E9" s="1" t="s">
        <v>100</v>
      </c>
      <c r="F9" s="2"/>
      <c r="G9" s="2">
        <f t="shared" si="0"/>
        <v>0</v>
      </c>
      <c r="H9" s="4" t="s">
        <v>109</v>
      </c>
    </row>
    <row r="10" ht="83" customHeight="1" spans="1:8">
      <c r="A10" s="1">
        <v>9</v>
      </c>
      <c r="B10" s="15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G10+G8+G7+G6+G5+G4+G3+G2+G9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7" max="7" width="10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13" t="s">
        <v>134</v>
      </c>
      <c r="C2" s="1" t="s">
        <v>84</v>
      </c>
      <c r="D2" s="2">
        <f>(1.77+1.24)*2+20</f>
        <v>26.02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14"/>
      <c r="C3" s="1" t="s">
        <v>87</v>
      </c>
      <c r="D3" s="2">
        <f>1.77*1.24*1.1</f>
        <v>2.41428</v>
      </c>
      <c r="E3" s="1" t="s">
        <v>88</v>
      </c>
      <c r="F3" s="2"/>
      <c r="G3" s="2">
        <f t="shared" si="0"/>
        <v>0</v>
      </c>
      <c r="H3" s="4" t="s">
        <v>108</v>
      </c>
    </row>
    <row r="4" ht="45" customHeight="1" spans="1:8">
      <c r="A4" s="1">
        <v>3</v>
      </c>
      <c r="B4" s="14"/>
      <c r="C4" s="1" t="s">
        <v>90</v>
      </c>
      <c r="D4" s="2">
        <f>1.77*1.24*0.1</f>
        <v>0.21948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14"/>
      <c r="C5" s="1" t="s">
        <v>92</v>
      </c>
      <c r="D5" s="2">
        <f>1.77*1.24*1-D6</f>
        <v>2.01048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14"/>
      <c r="C6" s="1" t="s">
        <v>93</v>
      </c>
      <c r="D6" s="2">
        <f>0.24*0.24*4*0.8</f>
        <v>0.18432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14"/>
      <c r="C7" s="1" t="s">
        <v>94</v>
      </c>
      <c r="D7" s="2">
        <v>4</v>
      </c>
      <c r="E7" s="1" t="s">
        <v>95</v>
      </c>
      <c r="F7" s="2"/>
      <c r="G7" s="2">
        <f t="shared" si="0"/>
        <v>0</v>
      </c>
      <c r="H7" s="4" t="s">
        <v>96</v>
      </c>
    </row>
    <row r="8" ht="45" customHeight="1" spans="1:8">
      <c r="A8" s="1">
        <v>7</v>
      </c>
      <c r="B8" s="14"/>
      <c r="C8" s="1" t="s">
        <v>97</v>
      </c>
      <c r="D8" s="2">
        <f>0.24*4*0.8*4+0.24*0.24*4</f>
        <v>3.3024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14"/>
      <c r="C9" s="1" t="s">
        <v>99</v>
      </c>
      <c r="D9" s="2">
        <f>0.00617*16*16*1.24*1.77/0.15*2*2</f>
        <v>92.44614656</v>
      </c>
      <c r="E9" s="1" t="s">
        <v>100</v>
      </c>
      <c r="F9" s="2"/>
      <c r="G9" s="2">
        <f t="shared" si="0"/>
        <v>0</v>
      </c>
      <c r="H9" s="4" t="s">
        <v>109</v>
      </c>
    </row>
    <row r="10" ht="83" customHeight="1" spans="1:8">
      <c r="A10" s="1">
        <v>9</v>
      </c>
      <c r="B10" s="15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G10+G8+G7+G6+G5+G4+G3+G2+G9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opLeftCell="A3"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7" max="7" width="10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13" t="s">
        <v>135</v>
      </c>
      <c r="C2" s="1" t="s">
        <v>84</v>
      </c>
      <c r="D2" s="2">
        <f>(1.55+2.97)*2+20</f>
        <v>29.04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14"/>
      <c r="C3" s="1" t="s">
        <v>87</v>
      </c>
      <c r="D3" s="2">
        <f>1.55*1.67*0.75+1.3*0.2</f>
        <v>2.201375</v>
      </c>
      <c r="E3" s="1" t="s">
        <v>88</v>
      </c>
      <c r="F3" s="2"/>
      <c r="G3" s="2">
        <f t="shared" si="0"/>
        <v>0</v>
      </c>
      <c r="H3" s="4" t="s">
        <v>136</v>
      </c>
    </row>
    <row r="4" ht="45" customHeight="1" spans="1:8">
      <c r="A4" s="1">
        <v>3</v>
      </c>
      <c r="B4" s="14"/>
      <c r="C4" s="1" t="s">
        <v>90</v>
      </c>
      <c r="D4" s="2">
        <f>1.55*1.67*0.1</f>
        <v>0.25885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14"/>
      <c r="C5" s="1" t="s">
        <v>92</v>
      </c>
      <c r="D5" s="2">
        <f>1.55*1.67*0.65+1.3*1.55*0.2</f>
        <v>2.085525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14"/>
      <c r="C6" s="1" t="s">
        <v>93</v>
      </c>
      <c r="D6" s="2">
        <f>0.2*0.2*4*0.55</f>
        <v>0.088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14"/>
      <c r="C7" s="1" t="s">
        <v>137</v>
      </c>
      <c r="D7" s="2">
        <v>4</v>
      </c>
      <c r="E7" s="1" t="s">
        <v>95</v>
      </c>
      <c r="F7" s="2"/>
      <c r="G7" s="2">
        <f t="shared" si="0"/>
        <v>0</v>
      </c>
      <c r="H7" s="4" t="s">
        <v>138</v>
      </c>
    </row>
    <row r="8" ht="45" customHeight="1" spans="1:8">
      <c r="A8" s="1">
        <v>7</v>
      </c>
      <c r="B8" s="14"/>
      <c r="C8" s="1" t="s">
        <v>97</v>
      </c>
      <c r="D8" s="2">
        <f>0.22*4*0.55*4</f>
        <v>1.936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14"/>
      <c r="C9" s="1" t="s">
        <v>139</v>
      </c>
      <c r="D9" s="2">
        <f>0.00617*16*16*1.24*1.77/0.15*2*2+0.26*0.26*0.02*7580*4+0.00617*8*8*0.25*4*4</f>
        <v>135.01830656</v>
      </c>
      <c r="E9" s="1" t="s">
        <v>100</v>
      </c>
      <c r="F9" s="2"/>
      <c r="G9" s="2">
        <f t="shared" si="0"/>
        <v>0</v>
      </c>
      <c r="H9" s="4" t="s">
        <v>109</v>
      </c>
    </row>
    <row r="10" ht="83" customHeight="1" spans="1:8">
      <c r="A10" s="1">
        <v>9</v>
      </c>
      <c r="B10" s="15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G10+G8+G7+G6+G5+G4+G3+G2+G9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F2" sqref="F2:F10"/>
    </sheetView>
  </sheetViews>
  <sheetFormatPr defaultColWidth="9" defaultRowHeight="13.5" outlineLevelCol="7"/>
  <cols>
    <col min="3" max="3" width="21.25" customWidth="1"/>
    <col min="4" max="4" width="11.125"/>
    <col min="7" max="7" width="10.125"/>
    <col min="8" max="8" width="25.625" customWidth="1"/>
  </cols>
  <sheetData>
    <row r="1" ht="45" customHeight="1" spans="1:8">
      <c r="A1" s="1" t="s">
        <v>1</v>
      </c>
      <c r="B1" s="1" t="s">
        <v>80</v>
      </c>
      <c r="C1" s="1" t="s">
        <v>81</v>
      </c>
      <c r="D1" s="2" t="s">
        <v>7</v>
      </c>
      <c r="E1" s="1" t="s">
        <v>6</v>
      </c>
      <c r="F1" s="2" t="s">
        <v>8</v>
      </c>
      <c r="G1" s="2" t="s">
        <v>82</v>
      </c>
      <c r="H1" s="2" t="s">
        <v>11</v>
      </c>
    </row>
    <row r="2" ht="45" customHeight="1" spans="1:8">
      <c r="A2" s="1">
        <v>1</v>
      </c>
      <c r="B2" s="13" t="s">
        <v>140</v>
      </c>
      <c r="C2" s="1" t="s">
        <v>84</v>
      </c>
      <c r="D2" s="2">
        <f>(1.41+1.045)*2+20</f>
        <v>24.91</v>
      </c>
      <c r="E2" s="1" t="s">
        <v>85</v>
      </c>
      <c r="F2" s="2"/>
      <c r="G2" s="2">
        <f t="shared" ref="G2:G10" si="0">F2*D2</f>
        <v>0</v>
      </c>
      <c r="H2" s="4" t="s">
        <v>86</v>
      </c>
    </row>
    <row r="3" ht="84" customHeight="1" spans="1:8">
      <c r="A3" s="1">
        <v>2</v>
      </c>
      <c r="B3" s="14"/>
      <c r="C3" s="1" t="s">
        <v>87</v>
      </c>
      <c r="D3" s="2">
        <f>1.41*1.045*1.3</f>
        <v>1.915485</v>
      </c>
      <c r="E3" s="1" t="s">
        <v>88</v>
      </c>
      <c r="F3" s="2"/>
      <c r="G3" s="2">
        <f t="shared" si="0"/>
        <v>0</v>
      </c>
      <c r="H3" s="4" t="s">
        <v>141</v>
      </c>
    </row>
    <row r="4" ht="45" customHeight="1" spans="1:8">
      <c r="A4" s="1">
        <v>3</v>
      </c>
      <c r="B4" s="14"/>
      <c r="C4" s="1" t="s">
        <v>90</v>
      </c>
      <c r="D4" s="2">
        <f>1.41*1.045*0.1</f>
        <v>0.147345</v>
      </c>
      <c r="E4" s="1" t="s">
        <v>88</v>
      </c>
      <c r="F4" s="2"/>
      <c r="G4" s="2">
        <f t="shared" si="0"/>
        <v>0</v>
      </c>
      <c r="H4" s="4" t="s">
        <v>91</v>
      </c>
    </row>
    <row r="5" ht="45" customHeight="1" spans="1:8">
      <c r="A5" s="1">
        <v>4</v>
      </c>
      <c r="B5" s="14"/>
      <c r="C5" s="1" t="s">
        <v>92</v>
      </c>
      <c r="D5" s="2">
        <f>1.41*1.045*1.2-D6</f>
        <v>1.6299</v>
      </c>
      <c r="E5" s="1" t="s">
        <v>88</v>
      </c>
      <c r="F5" s="2"/>
      <c r="G5" s="2">
        <f t="shared" si="0"/>
        <v>0</v>
      </c>
      <c r="H5" s="4"/>
    </row>
    <row r="6" ht="93" customHeight="1" spans="1:8">
      <c r="A6" s="1">
        <v>5</v>
      </c>
      <c r="B6" s="14"/>
      <c r="C6" s="1" t="s">
        <v>93</v>
      </c>
      <c r="D6" s="2">
        <f>0.18*0.24*4*0.8</f>
        <v>0.13824</v>
      </c>
      <c r="E6" s="1" t="s">
        <v>88</v>
      </c>
      <c r="F6" s="2"/>
      <c r="G6" s="2">
        <f t="shared" si="0"/>
        <v>0</v>
      </c>
      <c r="H6" s="4"/>
    </row>
    <row r="7" ht="45" customHeight="1" spans="1:8">
      <c r="A7" s="1">
        <v>6</v>
      </c>
      <c r="B7" s="14"/>
      <c r="C7" s="1" t="s">
        <v>137</v>
      </c>
      <c r="D7" s="2">
        <v>4</v>
      </c>
      <c r="E7" s="1" t="s">
        <v>95</v>
      </c>
      <c r="F7" s="2"/>
      <c r="G7" s="2">
        <f t="shared" si="0"/>
        <v>0</v>
      </c>
      <c r="H7" s="4" t="s">
        <v>138</v>
      </c>
    </row>
    <row r="8" ht="45" customHeight="1" spans="1:8">
      <c r="A8" s="1">
        <v>7</v>
      </c>
      <c r="B8" s="14"/>
      <c r="C8" s="1" t="s">
        <v>97</v>
      </c>
      <c r="D8" s="2">
        <f>(0.18+0.24)*2*0.8*4</f>
        <v>2.688</v>
      </c>
      <c r="E8" s="1" t="s">
        <v>98</v>
      </c>
      <c r="F8" s="2"/>
      <c r="G8" s="2">
        <f t="shared" si="0"/>
        <v>0</v>
      </c>
      <c r="H8" s="4"/>
    </row>
    <row r="9" ht="45" customHeight="1" spans="1:8">
      <c r="A9" s="1">
        <v>8</v>
      </c>
      <c r="B9" s="14"/>
      <c r="C9" s="1" t="s">
        <v>139</v>
      </c>
      <c r="D9" s="2">
        <f>0.00617*16*16*1.41*1.045/0.15*2*2</f>
        <v>62.06249984</v>
      </c>
      <c r="E9" s="1" t="s">
        <v>100</v>
      </c>
      <c r="F9" s="2"/>
      <c r="G9" s="2">
        <f t="shared" si="0"/>
        <v>0</v>
      </c>
      <c r="H9" s="4" t="s">
        <v>109</v>
      </c>
    </row>
    <row r="10" ht="83" customHeight="1" spans="1:8">
      <c r="A10" s="1">
        <v>9</v>
      </c>
      <c r="B10" s="15"/>
      <c r="C10" s="1" t="s">
        <v>102</v>
      </c>
      <c r="D10" s="2">
        <v>1</v>
      </c>
      <c r="E10" s="2" t="s">
        <v>79</v>
      </c>
      <c r="F10" s="2"/>
      <c r="G10" s="2">
        <f t="shared" si="0"/>
        <v>0</v>
      </c>
      <c r="H10" s="2" t="s">
        <v>103</v>
      </c>
    </row>
    <row r="11" ht="45.75" customHeight="1" spans="1:8">
      <c r="A11" s="1">
        <v>10</v>
      </c>
      <c r="B11" s="1" t="s">
        <v>104</v>
      </c>
      <c r="C11" s="1"/>
      <c r="D11" s="2">
        <f>G10+G8+G7+G6+G5+G4+G3+G2+G9</f>
        <v>0</v>
      </c>
      <c r="E11" s="2"/>
      <c r="F11" s="2"/>
      <c r="G11" s="2"/>
      <c r="H11" s="2"/>
    </row>
    <row r="12" ht="45.75" customHeight="1" spans="1:8">
      <c r="A12" s="1">
        <v>11</v>
      </c>
      <c r="B12" s="1" t="s">
        <v>105</v>
      </c>
      <c r="C12" s="11">
        <v>0.09</v>
      </c>
      <c r="D12" s="2">
        <f>D11*0.09</f>
        <v>0</v>
      </c>
      <c r="E12" s="2"/>
      <c r="F12" s="2"/>
      <c r="G12" s="2"/>
      <c r="H12" s="2"/>
    </row>
    <row r="13" ht="45.75" customHeight="1" spans="1:8">
      <c r="A13" s="1">
        <v>12</v>
      </c>
      <c r="B13" s="8" t="s">
        <v>106</v>
      </c>
      <c r="C13" s="1"/>
      <c r="D13" s="9">
        <f>D12+D11</f>
        <v>0</v>
      </c>
      <c r="E13" s="9"/>
      <c r="F13" s="9"/>
      <c r="G13" s="9"/>
      <c r="H13" s="9"/>
    </row>
  </sheetData>
  <mergeCells count="4">
    <mergeCell ref="D11:H11"/>
    <mergeCell ref="D12:H12"/>
    <mergeCell ref="D13:H13"/>
    <mergeCell ref="B2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汇总表</vt:lpstr>
      <vt:lpstr>1冲床下料JD21-100（扬力2014）</vt:lpstr>
      <vt:lpstr>2冲床下料设备基础（JC23-80（徐锻99））</vt:lpstr>
      <vt:lpstr>3三维切管机大族P10018D</vt:lpstr>
      <vt:lpstr>4冲床下料设备基础（JC23-63A（扬力2014））</vt:lpstr>
      <vt:lpstr>5冲床冲孔设备基础（JC23-40T（沃德精机2011）</vt:lpstr>
      <vt:lpstr>6冲床冲孔设备基础JC23-80徐锻</vt:lpstr>
      <vt:lpstr>7油压机（扬力四柱压力机）YL32-100</vt:lpstr>
      <vt:lpstr>8油压机Y32-100 1台（徐锻2012）</vt:lpstr>
      <vt:lpstr>9油压机YH32-40D</vt:lpstr>
      <vt:lpstr>10三维五轴激光切割机W3525TS</vt:lpstr>
      <vt:lpstr>11液压剪板机QC12Y-63200-扬力</vt:lpstr>
      <vt:lpstr>12折弯机MB8-100.3200-扬力</vt:lpstr>
      <vt:lpstr>13折弯机WC67Y-100 3200</vt:lpstr>
      <vt:lpstr>14折弯机PBB-160 4100</vt:lpstr>
      <vt:lpstr>15液压剪板机QC12K-6 2500-SY</vt:lpstr>
      <vt:lpstr>焊接机器人电源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Lenovo</cp:lastModifiedBy>
  <dcterms:created xsi:type="dcterms:W3CDTF">2023-03-17T09:51:00Z</dcterms:created>
  <dcterms:modified xsi:type="dcterms:W3CDTF">2025-08-19T06:51:28Z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F3A2B411EA0C45AAAD4A29B41858F1AE_13</vt:lpwstr>
  </property>
  <property fmtid="{D5CDD505-2E9C-101B-9397-08002B2CF9AE}" pid="3" name="KSOProductBuildVer">
    <vt:lpwstr>2052-11.8.2.12119</vt:lpwstr>
  </property>
</Properties>
</file>